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10" tabRatio="889" activeTab="12"/>
  </bookViews>
  <sheets>
    <sheet name="Leden 2017" sheetId="22" r:id="rId1"/>
    <sheet name="Únor 2017" sheetId="35" r:id="rId2"/>
    <sheet name="Březen 2017" sheetId="36" r:id="rId3"/>
    <sheet name="Duben 2017" sheetId="37" r:id="rId4"/>
    <sheet name="Květen 2017" sheetId="38" r:id="rId5"/>
    <sheet name="Červen 2017" sheetId="39" r:id="rId6"/>
    <sheet name="Červenec 2017" sheetId="40" r:id="rId7"/>
    <sheet name="Srpen 2017" sheetId="41" r:id="rId8"/>
    <sheet name="Září 2017" sheetId="42" r:id="rId9"/>
    <sheet name="Říjen 2017" sheetId="43" r:id="rId10"/>
    <sheet name="Listopad 2017" sheetId="44" r:id="rId11"/>
    <sheet name="Prosinec 2017" sheetId="45" r:id="rId12"/>
    <sheet name="Výpočet mzdy" sheetId="3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45" l="1"/>
  <c r="H39" i="45" s="1"/>
  <c r="K38" i="45"/>
  <c r="H38" i="45" s="1"/>
  <c r="K37" i="45"/>
  <c r="H37" i="45" s="1"/>
  <c r="K36" i="45"/>
  <c r="H36" i="45"/>
  <c r="K35" i="45"/>
  <c r="H35" i="45" s="1"/>
  <c r="K34" i="45"/>
  <c r="H34" i="45" s="1"/>
  <c r="K33" i="45"/>
  <c r="H33" i="45" s="1"/>
  <c r="K32" i="45"/>
  <c r="H32" i="45"/>
  <c r="K31" i="45"/>
  <c r="H31" i="45" s="1"/>
  <c r="K30" i="45"/>
  <c r="H30" i="45" s="1"/>
  <c r="K29" i="45"/>
  <c r="H29" i="45" s="1"/>
  <c r="K28" i="45"/>
  <c r="H28" i="45"/>
  <c r="K27" i="45"/>
  <c r="H27" i="45" s="1"/>
  <c r="K26" i="45"/>
  <c r="H26" i="45" s="1"/>
  <c r="K25" i="45"/>
  <c r="H25" i="45" s="1"/>
  <c r="K24" i="45"/>
  <c r="H24" i="45"/>
  <c r="K23" i="45"/>
  <c r="H23" i="45" s="1"/>
  <c r="K22" i="45"/>
  <c r="H22" i="45" s="1"/>
  <c r="K21" i="45"/>
  <c r="H21" i="45" s="1"/>
  <c r="K20" i="45"/>
  <c r="H20" i="45"/>
  <c r="K19" i="45"/>
  <c r="H19" i="45" s="1"/>
  <c r="K18" i="45"/>
  <c r="H18" i="45" s="1"/>
  <c r="K17" i="45"/>
  <c r="H17" i="45" s="1"/>
  <c r="K16" i="45"/>
  <c r="H16" i="45"/>
  <c r="K15" i="45"/>
  <c r="H15" i="45" s="1"/>
  <c r="K14" i="45"/>
  <c r="H14" i="45" s="1"/>
  <c r="K13" i="45"/>
  <c r="H13" i="45" s="1"/>
  <c r="K12" i="45"/>
  <c r="H12" i="45" s="1"/>
  <c r="G12" i="45" s="1"/>
  <c r="K11" i="45"/>
  <c r="H11" i="45" s="1"/>
  <c r="G11" i="45" s="1"/>
  <c r="K10" i="45"/>
  <c r="H10" i="45" s="1"/>
  <c r="G10" i="45" s="1"/>
  <c r="K9" i="45"/>
  <c r="H9" i="45" s="1"/>
  <c r="G9" i="45" s="1"/>
  <c r="L7" i="45"/>
  <c r="I7" i="45"/>
  <c r="J3" i="45"/>
  <c r="D9" i="45" s="1"/>
  <c r="K39" i="44"/>
  <c r="H39" i="44" s="1"/>
  <c r="K38" i="44"/>
  <c r="H38" i="44"/>
  <c r="K37" i="44"/>
  <c r="H37" i="44" s="1"/>
  <c r="K36" i="44"/>
  <c r="H36" i="44"/>
  <c r="K35" i="44"/>
  <c r="H35" i="44" s="1"/>
  <c r="K34" i="44"/>
  <c r="H34" i="44"/>
  <c r="K33" i="44"/>
  <c r="H33" i="44" s="1"/>
  <c r="K32" i="44"/>
  <c r="H32" i="44"/>
  <c r="K31" i="44"/>
  <c r="H31" i="44" s="1"/>
  <c r="K30" i="44"/>
  <c r="H30" i="44"/>
  <c r="K29" i="44"/>
  <c r="H29" i="44" s="1"/>
  <c r="K28" i="44"/>
  <c r="H28" i="44"/>
  <c r="K27" i="44"/>
  <c r="H27" i="44" s="1"/>
  <c r="K26" i="44"/>
  <c r="H26" i="44"/>
  <c r="K25" i="44"/>
  <c r="H25" i="44" s="1"/>
  <c r="K24" i="44"/>
  <c r="H24" i="44"/>
  <c r="K23" i="44"/>
  <c r="H23" i="44" s="1"/>
  <c r="K22" i="44"/>
  <c r="H22" i="44"/>
  <c r="K21" i="44"/>
  <c r="H21" i="44" s="1"/>
  <c r="K20" i="44"/>
  <c r="H20" i="44"/>
  <c r="K19" i="44"/>
  <c r="H19" i="44" s="1"/>
  <c r="K18" i="44"/>
  <c r="H18" i="44"/>
  <c r="K17" i="44"/>
  <c r="H17" i="44" s="1"/>
  <c r="K16" i="44"/>
  <c r="H16" i="44"/>
  <c r="K15" i="44"/>
  <c r="H15" i="44" s="1"/>
  <c r="K14" i="44"/>
  <c r="H14" i="44"/>
  <c r="K13" i="44"/>
  <c r="H13" i="44" s="1"/>
  <c r="K12" i="44"/>
  <c r="H12" i="44"/>
  <c r="G12" i="44" s="1"/>
  <c r="K11" i="44"/>
  <c r="H11" i="44" s="1"/>
  <c r="G11" i="44" s="1"/>
  <c r="K10" i="44"/>
  <c r="H10" i="44" s="1"/>
  <c r="G10" i="44" s="1"/>
  <c r="K9" i="44"/>
  <c r="H9" i="44" s="1"/>
  <c r="G9" i="44" s="1"/>
  <c r="D9" i="44"/>
  <c r="B9" i="44" s="1"/>
  <c r="L7" i="44"/>
  <c r="I7" i="44"/>
  <c r="J4" i="44"/>
  <c r="J3" i="44"/>
  <c r="K39" i="43"/>
  <c r="H39" i="43" s="1"/>
  <c r="K38" i="43"/>
  <c r="H38" i="43" s="1"/>
  <c r="K37" i="43"/>
  <c r="H37" i="43"/>
  <c r="K36" i="43"/>
  <c r="H36" i="43"/>
  <c r="K35" i="43"/>
  <c r="H35" i="43" s="1"/>
  <c r="K34" i="43"/>
  <c r="H34" i="43" s="1"/>
  <c r="K33" i="43"/>
  <c r="H33" i="43"/>
  <c r="K32" i="43"/>
  <c r="H32" i="43"/>
  <c r="K31" i="43"/>
  <c r="H31" i="43" s="1"/>
  <c r="K30" i="43"/>
  <c r="H30" i="43" s="1"/>
  <c r="K29" i="43"/>
  <c r="H29" i="43"/>
  <c r="K28" i="43"/>
  <c r="H28" i="43"/>
  <c r="K27" i="43"/>
  <c r="H27" i="43" s="1"/>
  <c r="K26" i="43"/>
  <c r="H26" i="43" s="1"/>
  <c r="K25" i="43"/>
  <c r="H25" i="43"/>
  <c r="K24" i="43"/>
  <c r="H24" i="43"/>
  <c r="K23" i="43"/>
  <c r="H23" i="43" s="1"/>
  <c r="K22" i="43"/>
  <c r="H22" i="43" s="1"/>
  <c r="K21" i="43"/>
  <c r="H21" i="43"/>
  <c r="K20" i="43"/>
  <c r="H20" i="43"/>
  <c r="K19" i="43"/>
  <c r="H19" i="43" s="1"/>
  <c r="K18" i="43"/>
  <c r="H18" i="43" s="1"/>
  <c r="K17" i="43"/>
  <c r="H17" i="43"/>
  <c r="K16" i="43"/>
  <c r="H16" i="43"/>
  <c r="K15" i="43"/>
  <c r="H15" i="43" s="1"/>
  <c r="K14" i="43"/>
  <c r="H14" i="43" s="1"/>
  <c r="K13" i="43"/>
  <c r="H13" i="43" s="1"/>
  <c r="K12" i="43"/>
  <c r="H12" i="43" s="1"/>
  <c r="G12" i="43" s="1"/>
  <c r="K11" i="43"/>
  <c r="H11" i="43" s="1"/>
  <c r="G11" i="43" s="1"/>
  <c r="K10" i="43"/>
  <c r="H10" i="43" s="1"/>
  <c r="G10" i="43" s="1"/>
  <c r="K9" i="43"/>
  <c r="H9" i="43"/>
  <c r="G9" i="43" s="1"/>
  <c r="L7" i="43"/>
  <c r="I7" i="43"/>
  <c r="J4" i="43"/>
  <c r="J3" i="43"/>
  <c r="D9" i="43" s="1"/>
  <c r="K39" i="42"/>
  <c r="H39" i="42"/>
  <c r="K38" i="42"/>
  <c r="H38" i="42" s="1"/>
  <c r="K37" i="42"/>
  <c r="H37" i="42"/>
  <c r="K36" i="42"/>
  <c r="H36" i="42" s="1"/>
  <c r="K35" i="42"/>
  <c r="H35" i="42"/>
  <c r="K34" i="42"/>
  <c r="H34" i="42" s="1"/>
  <c r="K33" i="42"/>
  <c r="H33" i="42"/>
  <c r="K32" i="42"/>
  <c r="H32" i="42" s="1"/>
  <c r="K31" i="42"/>
  <c r="H31" i="42"/>
  <c r="K30" i="42"/>
  <c r="H30" i="42" s="1"/>
  <c r="K29" i="42"/>
  <c r="H29" i="42"/>
  <c r="K28" i="42"/>
  <c r="H28" i="42" s="1"/>
  <c r="K27" i="42"/>
  <c r="H27" i="42"/>
  <c r="K26" i="42"/>
  <c r="H26" i="42" s="1"/>
  <c r="K25" i="42"/>
  <c r="H25" i="42"/>
  <c r="K24" i="42"/>
  <c r="H24" i="42" s="1"/>
  <c r="K23" i="42"/>
  <c r="H23" i="42"/>
  <c r="K22" i="42"/>
  <c r="H22" i="42" s="1"/>
  <c r="K21" i="42"/>
  <c r="H21" i="42"/>
  <c r="K20" i="42"/>
  <c r="H20" i="42" s="1"/>
  <c r="K19" i="42"/>
  <c r="H19" i="42"/>
  <c r="K18" i="42"/>
  <c r="H18" i="42" s="1"/>
  <c r="K17" i="42"/>
  <c r="H17" i="42"/>
  <c r="K16" i="42"/>
  <c r="H16" i="42" s="1"/>
  <c r="K15" i="42"/>
  <c r="H15" i="42"/>
  <c r="K14" i="42"/>
  <c r="K13" i="42"/>
  <c r="H13" i="42"/>
  <c r="K12" i="42"/>
  <c r="H12" i="42" s="1"/>
  <c r="G12" i="42" s="1"/>
  <c r="K11" i="42"/>
  <c r="H11" i="42"/>
  <c r="G11" i="42" s="1"/>
  <c r="K10" i="42"/>
  <c r="H10" i="42" s="1"/>
  <c r="G10" i="42" s="1"/>
  <c r="K9" i="42"/>
  <c r="H9" i="42" s="1"/>
  <c r="G9" i="42" s="1"/>
  <c r="L7" i="42"/>
  <c r="I7" i="42"/>
  <c r="J3" i="42"/>
  <c r="K39" i="41"/>
  <c r="H39" i="41" s="1"/>
  <c r="K38" i="41"/>
  <c r="H38" i="41" s="1"/>
  <c r="K37" i="41"/>
  <c r="H37" i="41"/>
  <c r="K36" i="41"/>
  <c r="H36" i="41"/>
  <c r="K35" i="41"/>
  <c r="H35" i="41" s="1"/>
  <c r="K34" i="41"/>
  <c r="H34" i="41" s="1"/>
  <c r="K33" i="41"/>
  <c r="H33" i="41"/>
  <c r="K32" i="41"/>
  <c r="H32" i="41"/>
  <c r="K31" i="41"/>
  <c r="H31" i="41" s="1"/>
  <c r="K30" i="41"/>
  <c r="H30" i="41" s="1"/>
  <c r="K29" i="41"/>
  <c r="H29" i="41"/>
  <c r="K28" i="41"/>
  <c r="H28" i="41"/>
  <c r="K27" i="41"/>
  <c r="H27" i="41" s="1"/>
  <c r="K26" i="41"/>
  <c r="H26" i="41" s="1"/>
  <c r="K25" i="41"/>
  <c r="H25" i="41"/>
  <c r="K24" i="41"/>
  <c r="H24" i="41"/>
  <c r="K23" i="41"/>
  <c r="H23" i="41" s="1"/>
  <c r="K22" i="41"/>
  <c r="H22" i="41" s="1"/>
  <c r="K21" i="41"/>
  <c r="H21" i="41"/>
  <c r="K20" i="41"/>
  <c r="H20" i="41"/>
  <c r="K19" i="41"/>
  <c r="H19" i="41" s="1"/>
  <c r="K18" i="41"/>
  <c r="H18" i="41" s="1"/>
  <c r="K17" i="41"/>
  <c r="H17" i="41"/>
  <c r="K16" i="41"/>
  <c r="H16" i="41"/>
  <c r="K15" i="41"/>
  <c r="H15" i="41" s="1"/>
  <c r="K14" i="41"/>
  <c r="H14" i="41" s="1"/>
  <c r="K13" i="41"/>
  <c r="H13" i="41"/>
  <c r="K12" i="41"/>
  <c r="H12" i="41"/>
  <c r="G12" i="41" s="1"/>
  <c r="K11" i="41"/>
  <c r="H11" i="41" s="1"/>
  <c r="G11" i="41" s="1"/>
  <c r="K10" i="41"/>
  <c r="H10" i="41" s="1"/>
  <c r="G10" i="41" s="1"/>
  <c r="K9" i="41"/>
  <c r="H9" i="41" s="1"/>
  <c r="G9" i="41" s="1"/>
  <c r="L7" i="41"/>
  <c r="I7" i="41"/>
  <c r="J3" i="41"/>
  <c r="D9" i="41" s="1"/>
  <c r="K39" i="40"/>
  <c r="H39" i="40"/>
  <c r="K38" i="40"/>
  <c r="H38" i="40"/>
  <c r="K37" i="40"/>
  <c r="H37" i="40" s="1"/>
  <c r="K36" i="40"/>
  <c r="H36" i="40"/>
  <c r="K35" i="40"/>
  <c r="H35" i="40"/>
  <c r="K34" i="40"/>
  <c r="H34" i="40"/>
  <c r="K33" i="40"/>
  <c r="H33" i="40" s="1"/>
  <c r="K32" i="40"/>
  <c r="H32" i="40"/>
  <c r="K31" i="40"/>
  <c r="H31" i="40"/>
  <c r="K30" i="40"/>
  <c r="H30" i="40"/>
  <c r="K29" i="40"/>
  <c r="H29" i="40" s="1"/>
  <c r="K28" i="40"/>
  <c r="H28" i="40"/>
  <c r="K27" i="40"/>
  <c r="H27" i="40"/>
  <c r="K26" i="40"/>
  <c r="H26" i="40"/>
  <c r="K25" i="40"/>
  <c r="H25" i="40" s="1"/>
  <c r="K24" i="40"/>
  <c r="H24" i="40"/>
  <c r="K23" i="40"/>
  <c r="H23" i="40"/>
  <c r="K22" i="40"/>
  <c r="H22" i="40"/>
  <c r="K21" i="40"/>
  <c r="H21" i="40" s="1"/>
  <c r="K20" i="40"/>
  <c r="H20" i="40"/>
  <c r="K19" i="40"/>
  <c r="H19" i="40"/>
  <c r="K18" i="40"/>
  <c r="H18" i="40"/>
  <c r="K17" i="40"/>
  <c r="H17" i="40" s="1"/>
  <c r="K16" i="40"/>
  <c r="H16" i="40"/>
  <c r="K15" i="40"/>
  <c r="H15" i="40"/>
  <c r="K14" i="40"/>
  <c r="H14" i="40"/>
  <c r="K13" i="40"/>
  <c r="H13" i="40" s="1"/>
  <c r="K12" i="40"/>
  <c r="H12" i="40"/>
  <c r="G12" i="40" s="1"/>
  <c r="K11" i="40"/>
  <c r="H11" i="40" s="1"/>
  <c r="G11" i="40" s="1"/>
  <c r="K10" i="40"/>
  <c r="H10" i="40" s="1"/>
  <c r="G10" i="40" s="1"/>
  <c r="K9" i="40"/>
  <c r="H9" i="40" s="1"/>
  <c r="G9" i="40" s="1"/>
  <c r="D9" i="40"/>
  <c r="B9" i="40" s="1"/>
  <c r="L7" i="40"/>
  <c r="I7" i="40"/>
  <c r="J4" i="40"/>
  <c r="J3" i="40"/>
  <c r="K39" i="39"/>
  <c r="H39" i="39" s="1"/>
  <c r="K38" i="39"/>
  <c r="H38" i="39"/>
  <c r="K37" i="39"/>
  <c r="H37" i="39"/>
  <c r="K36" i="39"/>
  <c r="H36" i="39"/>
  <c r="K35" i="39"/>
  <c r="H35" i="39" s="1"/>
  <c r="K34" i="39"/>
  <c r="H34" i="39"/>
  <c r="K33" i="39"/>
  <c r="H33" i="39"/>
  <c r="K32" i="39"/>
  <c r="H32" i="39"/>
  <c r="K31" i="39"/>
  <c r="H31" i="39" s="1"/>
  <c r="K30" i="39"/>
  <c r="H30" i="39"/>
  <c r="K29" i="39"/>
  <c r="H29" i="39"/>
  <c r="K28" i="39"/>
  <c r="H28" i="39"/>
  <c r="K27" i="39"/>
  <c r="H27" i="39" s="1"/>
  <c r="K26" i="39"/>
  <c r="H26" i="39"/>
  <c r="K25" i="39"/>
  <c r="H25" i="39"/>
  <c r="K24" i="39"/>
  <c r="H24" i="39"/>
  <c r="K23" i="39"/>
  <c r="H23" i="39" s="1"/>
  <c r="K22" i="39"/>
  <c r="H22" i="39"/>
  <c r="K21" i="39"/>
  <c r="H21" i="39"/>
  <c r="K20" i="39"/>
  <c r="H20" i="39"/>
  <c r="K19" i="39"/>
  <c r="H19" i="39" s="1"/>
  <c r="K18" i="39"/>
  <c r="H18" i="39"/>
  <c r="K17" i="39"/>
  <c r="H17" i="39"/>
  <c r="K16" i="39"/>
  <c r="H16" i="39"/>
  <c r="K15" i="39"/>
  <c r="H15" i="39" s="1"/>
  <c r="K14" i="39"/>
  <c r="H14" i="39"/>
  <c r="K13" i="39"/>
  <c r="H13" i="39"/>
  <c r="K12" i="39"/>
  <c r="H12" i="39" s="1"/>
  <c r="G12" i="39" s="1"/>
  <c r="K11" i="39"/>
  <c r="H11" i="39"/>
  <c r="G11" i="39" s="1"/>
  <c r="K10" i="39"/>
  <c r="K9" i="39"/>
  <c r="H9" i="39"/>
  <c r="G9" i="39" s="1"/>
  <c r="L7" i="39"/>
  <c r="I7" i="39"/>
  <c r="J4" i="39"/>
  <c r="J3" i="39"/>
  <c r="D9" i="39" s="1"/>
  <c r="J9" i="39" s="1"/>
  <c r="K39" i="38"/>
  <c r="H39" i="38"/>
  <c r="K38" i="38"/>
  <c r="H38" i="38" s="1"/>
  <c r="K37" i="38"/>
  <c r="H37" i="38"/>
  <c r="K36" i="38"/>
  <c r="H36" i="38"/>
  <c r="K35" i="38"/>
  <c r="H35" i="38"/>
  <c r="K34" i="38"/>
  <c r="H34" i="38" s="1"/>
  <c r="K33" i="38"/>
  <c r="H33" i="38"/>
  <c r="K32" i="38"/>
  <c r="H32" i="38"/>
  <c r="K31" i="38"/>
  <c r="H31" i="38"/>
  <c r="K30" i="38"/>
  <c r="H30" i="38" s="1"/>
  <c r="K29" i="38"/>
  <c r="H29" i="38"/>
  <c r="K28" i="38"/>
  <c r="H28" i="38"/>
  <c r="K27" i="38"/>
  <c r="H27" i="38"/>
  <c r="K26" i="38"/>
  <c r="H26" i="38" s="1"/>
  <c r="K25" i="38"/>
  <c r="H25" i="38"/>
  <c r="K24" i="38"/>
  <c r="H24" i="38"/>
  <c r="K23" i="38"/>
  <c r="H23" i="38"/>
  <c r="K22" i="38"/>
  <c r="H22" i="38" s="1"/>
  <c r="K21" i="38"/>
  <c r="H21" i="38"/>
  <c r="K20" i="38"/>
  <c r="H20" i="38"/>
  <c r="K19" i="38"/>
  <c r="H19" i="38"/>
  <c r="K18" i="38"/>
  <c r="H18" i="38" s="1"/>
  <c r="K17" i="38"/>
  <c r="H17" i="38"/>
  <c r="K16" i="38"/>
  <c r="H16" i="38"/>
  <c r="K15" i="38"/>
  <c r="H15" i="38"/>
  <c r="K14" i="38"/>
  <c r="H14" i="38" s="1"/>
  <c r="K13" i="38"/>
  <c r="H13" i="38"/>
  <c r="K12" i="38"/>
  <c r="H12" i="38"/>
  <c r="G12" i="38" s="1"/>
  <c r="K11" i="38"/>
  <c r="K10" i="38"/>
  <c r="H10" i="38" s="1"/>
  <c r="G10" i="38" s="1"/>
  <c r="K9" i="38"/>
  <c r="H9" i="38" s="1"/>
  <c r="G9" i="38" s="1"/>
  <c r="L7" i="38"/>
  <c r="I7" i="38"/>
  <c r="J3" i="38"/>
  <c r="D9" i="38" s="1"/>
  <c r="K39" i="37"/>
  <c r="H39" i="37" s="1"/>
  <c r="K38" i="37"/>
  <c r="H38" i="37"/>
  <c r="K37" i="37"/>
  <c r="H37" i="37"/>
  <c r="K36" i="37"/>
  <c r="H36" i="37"/>
  <c r="K35" i="37"/>
  <c r="H35" i="37" s="1"/>
  <c r="K34" i="37"/>
  <c r="H34" i="37" s="1"/>
  <c r="K33" i="37"/>
  <c r="H33" i="37"/>
  <c r="K32" i="37"/>
  <c r="H32" i="37"/>
  <c r="K31" i="37"/>
  <c r="H31" i="37" s="1"/>
  <c r="K30" i="37"/>
  <c r="H30" i="37" s="1"/>
  <c r="K29" i="37"/>
  <c r="H29" i="37"/>
  <c r="K28" i="37"/>
  <c r="H28" i="37"/>
  <c r="K27" i="37"/>
  <c r="H27" i="37" s="1"/>
  <c r="K26" i="37"/>
  <c r="H26" i="37" s="1"/>
  <c r="K25" i="37"/>
  <c r="H25" i="37"/>
  <c r="K24" i="37"/>
  <c r="H24" i="37"/>
  <c r="K23" i="37"/>
  <c r="H23" i="37" s="1"/>
  <c r="K22" i="37"/>
  <c r="H22" i="37" s="1"/>
  <c r="K21" i="37"/>
  <c r="H21" i="37"/>
  <c r="K20" i="37"/>
  <c r="H20" i="37"/>
  <c r="K19" i="37"/>
  <c r="H19" i="37" s="1"/>
  <c r="K18" i="37"/>
  <c r="H18" i="37" s="1"/>
  <c r="K17" i="37"/>
  <c r="H17" i="37"/>
  <c r="K16" i="37"/>
  <c r="H16" i="37"/>
  <c r="K15" i="37"/>
  <c r="H15" i="37" s="1"/>
  <c r="K14" i="37"/>
  <c r="H14" i="37" s="1"/>
  <c r="K13" i="37"/>
  <c r="H13" i="37"/>
  <c r="K12" i="37"/>
  <c r="H12" i="37" s="1"/>
  <c r="G12" i="37" s="1"/>
  <c r="K11" i="37"/>
  <c r="H11" i="37" s="1"/>
  <c r="G11" i="37" s="1"/>
  <c r="K10" i="37"/>
  <c r="H10" i="37" s="1"/>
  <c r="G10" i="37" s="1"/>
  <c r="K9" i="37"/>
  <c r="H9" i="37" s="1"/>
  <c r="G9" i="37" s="1"/>
  <c r="L7" i="37"/>
  <c r="I7" i="37"/>
  <c r="J3" i="37"/>
  <c r="D9" i="37" s="1"/>
  <c r="K39" i="36"/>
  <c r="H39" i="36"/>
  <c r="K38" i="36"/>
  <c r="H38" i="36"/>
  <c r="K37" i="36"/>
  <c r="H37" i="36" s="1"/>
  <c r="K36" i="36"/>
  <c r="H36" i="36"/>
  <c r="K35" i="36"/>
  <c r="H35" i="36"/>
  <c r="K34" i="36"/>
  <c r="H34" i="36"/>
  <c r="K33" i="36"/>
  <c r="H33" i="36" s="1"/>
  <c r="K32" i="36"/>
  <c r="H32" i="36"/>
  <c r="K31" i="36"/>
  <c r="H31" i="36"/>
  <c r="K30" i="36"/>
  <c r="H30" i="36"/>
  <c r="K29" i="36"/>
  <c r="H29" i="36" s="1"/>
  <c r="K28" i="36"/>
  <c r="H28" i="36"/>
  <c r="K27" i="36"/>
  <c r="H27" i="36"/>
  <c r="K26" i="36"/>
  <c r="H26" i="36"/>
  <c r="K25" i="36"/>
  <c r="H25" i="36" s="1"/>
  <c r="K24" i="36"/>
  <c r="H24" i="36"/>
  <c r="K23" i="36"/>
  <c r="H23" i="36"/>
  <c r="K22" i="36"/>
  <c r="H22" i="36"/>
  <c r="K21" i="36"/>
  <c r="H21" i="36" s="1"/>
  <c r="K20" i="36"/>
  <c r="H20" i="36"/>
  <c r="K19" i="36"/>
  <c r="H19" i="36"/>
  <c r="K18" i="36"/>
  <c r="H18" i="36"/>
  <c r="K17" i="36"/>
  <c r="H17" i="36" s="1"/>
  <c r="K16" i="36"/>
  <c r="H16" i="36"/>
  <c r="K15" i="36"/>
  <c r="H15" i="36" s="1"/>
  <c r="K14" i="36"/>
  <c r="H14" i="36" s="1"/>
  <c r="K13" i="36"/>
  <c r="H13" i="36" s="1"/>
  <c r="K12" i="36"/>
  <c r="H12" i="36" s="1"/>
  <c r="G12" i="36" s="1"/>
  <c r="K11" i="36"/>
  <c r="H11" i="36"/>
  <c r="G11" i="36"/>
  <c r="K10" i="36"/>
  <c r="H10" i="36"/>
  <c r="G10" i="36" s="1"/>
  <c r="K9" i="36"/>
  <c r="H9" i="36" s="1"/>
  <c r="G9" i="36" s="1"/>
  <c r="D9" i="36"/>
  <c r="B9" i="36" s="1"/>
  <c r="L7" i="36"/>
  <c r="I7" i="36"/>
  <c r="J4" i="36"/>
  <c r="J3" i="36"/>
  <c r="E7" i="22"/>
  <c r="K39" i="35"/>
  <c r="H39" i="35"/>
  <c r="K38" i="35"/>
  <c r="H38" i="35" s="1"/>
  <c r="K37" i="35"/>
  <c r="H37" i="35"/>
  <c r="K36" i="35"/>
  <c r="H36" i="35" s="1"/>
  <c r="K35" i="35"/>
  <c r="H35" i="35"/>
  <c r="K34" i="35"/>
  <c r="H34" i="35" s="1"/>
  <c r="K33" i="35"/>
  <c r="H33" i="35"/>
  <c r="K32" i="35"/>
  <c r="H32" i="35" s="1"/>
  <c r="K31" i="35"/>
  <c r="H31" i="35"/>
  <c r="K30" i="35"/>
  <c r="H30" i="35" s="1"/>
  <c r="K29" i="35"/>
  <c r="H29" i="35"/>
  <c r="K28" i="35"/>
  <c r="H28" i="35" s="1"/>
  <c r="K27" i="35"/>
  <c r="H27" i="35"/>
  <c r="K26" i="35"/>
  <c r="H26" i="35" s="1"/>
  <c r="K25" i="35"/>
  <c r="H25" i="35"/>
  <c r="K24" i="35"/>
  <c r="H24" i="35" s="1"/>
  <c r="K23" i="35"/>
  <c r="H23" i="35"/>
  <c r="K22" i="35"/>
  <c r="H22" i="35" s="1"/>
  <c r="K21" i="35"/>
  <c r="H21" i="35"/>
  <c r="K20" i="35"/>
  <c r="H20" i="35" s="1"/>
  <c r="K19" i="35"/>
  <c r="H19" i="35"/>
  <c r="K18" i="35"/>
  <c r="H18" i="35" s="1"/>
  <c r="K17" i="35"/>
  <c r="H17" i="35"/>
  <c r="K16" i="35"/>
  <c r="H16" i="35" s="1"/>
  <c r="K15" i="35"/>
  <c r="H15" i="35"/>
  <c r="K14" i="35"/>
  <c r="H14" i="35" s="1"/>
  <c r="K13" i="35"/>
  <c r="H13" i="35"/>
  <c r="K12" i="35"/>
  <c r="H12" i="35" s="1"/>
  <c r="G12" i="35" s="1"/>
  <c r="K11" i="35"/>
  <c r="H11" i="35" s="1"/>
  <c r="G11" i="35" s="1"/>
  <c r="K10" i="35"/>
  <c r="H10" i="35"/>
  <c r="G10" i="35" s="1"/>
  <c r="K9" i="35"/>
  <c r="H9" i="35" s="1"/>
  <c r="G9" i="35" s="1"/>
  <c r="L7" i="35"/>
  <c r="I7" i="35"/>
  <c r="J3" i="35"/>
  <c r="D9" i="35" s="1"/>
  <c r="K10" i="22"/>
  <c r="H10" i="22" s="1"/>
  <c r="K11" i="22"/>
  <c r="H11" i="22" s="1"/>
  <c r="K12" i="22"/>
  <c r="H12" i="22" s="1"/>
  <c r="G12" i="22" s="1"/>
  <c r="K13" i="22"/>
  <c r="H13" i="22" s="1"/>
  <c r="K14" i="22"/>
  <c r="H14" i="22" s="1"/>
  <c r="K15" i="22"/>
  <c r="H15" i="22" s="1"/>
  <c r="K16" i="22"/>
  <c r="H16" i="22" s="1"/>
  <c r="K17" i="22"/>
  <c r="H17" i="22" s="1"/>
  <c r="K18" i="22"/>
  <c r="H18" i="22" s="1"/>
  <c r="K19" i="22"/>
  <c r="H19" i="22" s="1"/>
  <c r="K20" i="22"/>
  <c r="H20" i="22" s="1"/>
  <c r="K21" i="22"/>
  <c r="H21" i="22" s="1"/>
  <c r="K22" i="22"/>
  <c r="H22" i="22" s="1"/>
  <c r="K23" i="22"/>
  <c r="H23" i="22" s="1"/>
  <c r="K24" i="22"/>
  <c r="H24" i="22" s="1"/>
  <c r="K25" i="22"/>
  <c r="H25" i="22" s="1"/>
  <c r="K26" i="22"/>
  <c r="H26" i="22" s="1"/>
  <c r="K27" i="22"/>
  <c r="H27" i="22" s="1"/>
  <c r="K28" i="22"/>
  <c r="H28" i="22" s="1"/>
  <c r="K29" i="22"/>
  <c r="H29" i="22" s="1"/>
  <c r="K30" i="22"/>
  <c r="H30" i="22" s="1"/>
  <c r="K31" i="22"/>
  <c r="H31" i="22" s="1"/>
  <c r="K32" i="22"/>
  <c r="H32" i="22" s="1"/>
  <c r="K33" i="22"/>
  <c r="H33" i="22" s="1"/>
  <c r="K34" i="22"/>
  <c r="H34" i="22" s="1"/>
  <c r="K35" i="22"/>
  <c r="H35" i="22" s="1"/>
  <c r="K36" i="22"/>
  <c r="H36" i="22" s="1"/>
  <c r="K37" i="22"/>
  <c r="H37" i="22" s="1"/>
  <c r="K38" i="22"/>
  <c r="H38" i="22" s="1"/>
  <c r="K39" i="22"/>
  <c r="H39" i="22" s="1"/>
  <c r="K9" i="22"/>
  <c r="L7" i="22"/>
  <c r="I7" i="22"/>
  <c r="J3" i="22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D35" i="22" s="1"/>
  <c r="D36" i="22" s="1"/>
  <c r="D37" i="22" s="1"/>
  <c r="D38" i="22" s="1"/>
  <c r="J38" i="22" s="1"/>
  <c r="A27" i="34"/>
  <c r="A26" i="34" s="1"/>
  <c r="A37" i="34"/>
  <c r="A36" i="34"/>
  <c r="A35" i="34"/>
  <c r="A34" i="34"/>
  <c r="A33" i="34"/>
  <c r="A32" i="34"/>
  <c r="A31" i="34"/>
  <c r="A30" i="34"/>
  <c r="A29" i="34"/>
  <c r="A28" i="34"/>
  <c r="A25" i="34"/>
  <c r="D6" i="34"/>
  <c r="D3" i="34"/>
  <c r="C9" i="36" l="1"/>
  <c r="D10" i="36"/>
  <c r="J10" i="36" s="1"/>
  <c r="C9" i="40"/>
  <c r="D10" i="40"/>
  <c r="J10" i="40" s="1"/>
  <c r="C9" i="44"/>
  <c r="D10" i="44"/>
  <c r="J10" i="44" s="1"/>
  <c r="H7" i="43"/>
  <c r="G7" i="43"/>
  <c r="H7" i="45"/>
  <c r="G7" i="45"/>
  <c r="K7" i="42"/>
  <c r="H14" i="42"/>
  <c r="D10" i="43"/>
  <c r="C9" i="43"/>
  <c r="B9" i="43"/>
  <c r="J9" i="43"/>
  <c r="G7" i="42"/>
  <c r="H7" i="42"/>
  <c r="D9" i="42"/>
  <c r="J4" i="42"/>
  <c r="H7" i="44"/>
  <c r="G7" i="44"/>
  <c r="J9" i="45"/>
  <c r="D10" i="45"/>
  <c r="C9" i="45"/>
  <c r="B9" i="45"/>
  <c r="J9" i="44"/>
  <c r="K7" i="45"/>
  <c r="K7" i="44"/>
  <c r="K7" i="43"/>
  <c r="B10" i="44"/>
  <c r="J4" i="45"/>
  <c r="C10" i="44"/>
  <c r="D11" i="44"/>
  <c r="G7" i="38"/>
  <c r="H7" i="38"/>
  <c r="H7" i="40"/>
  <c r="G7" i="40"/>
  <c r="D10" i="39"/>
  <c r="C9" i="39"/>
  <c r="B9" i="39"/>
  <c r="H10" i="39"/>
  <c r="G10" i="39" s="1"/>
  <c r="K7" i="39"/>
  <c r="H7" i="41"/>
  <c r="G7" i="41"/>
  <c r="D10" i="38"/>
  <c r="C9" i="38"/>
  <c r="B9" i="38"/>
  <c r="J9" i="38"/>
  <c r="H11" i="38"/>
  <c r="G11" i="38" s="1"/>
  <c r="K7" i="38"/>
  <c r="K7" i="40"/>
  <c r="J9" i="41"/>
  <c r="D10" i="41"/>
  <c r="C9" i="41"/>
  <c r="B9" i="41"/>
  <c r="H7" i="39"/>
  <c r="G7" i="39"/>
  <c r="J9" i="40"/>
  <c r="K7" i="41"/>
  <c r="B10" i="40"/>
  <c r="J4" i="41"/>
  <c r="C10" i="40"/>
  <c r="D11" i="40"/>
  <c r="J4" i="38"/>
  <c r="H7" i="37"/>
  <c r="G7" i="37"/>
  <c r="H7" i="36"/>
  <c r="G7" i="36"/>
  <c r="J9" i="37"/>
  <c r="D10" i="37"/>
  <c r="C9" i="37"/>
  <c r="B9" i="37"/>
  <c r="J9" i="36"/>
  <c r="K7" i="37"/>
  <c r="K7" i="36"/>
  <c r="B10" i="36"/>
  <c r="J4" i="37"/>
  <c r="C10" i="36"/>
  <c r="D11" i="36"/>
  <c r="H7" i="35"/>
  <c r="G7" i="35"/>
  <c r="J9" i="35"/>
  <c r="D10" i="35"/>
  <c r="C9" i="35"/>
  <c r="B9" i="35"/>
  <c r="K7" i="35"/>
  <c r="J4" i="35"/>
  <c r="J34" i="22"/>
  <c r="J30" i="22"/>
  <c r="J26" i="22"/>
  <c r="J22" i="22"/>
  <c r="J18" i="22"/>
  <c r="J14" i="22"/>
  <c r="J10" i="22"/>
  <c r="J9" i="22"/>
  <c r="J37" i="22"/>
  <c r="J33" i="22"/>
  <c r="J29" i="22"/>
  <c r="J25" i="22"/>
  <c r="J21" i="22"/>
  <c r="J17" i="22"/>
  <c r="J13" i="22"/>
  <c r="J36" i="22"/>
  <c r="J32" i="22"/>
  <c r="J28" i="22"/>
  <c r="J24" i="22"/>
  <c r="J20" i="22"/>
  <c r="J16" i="22"/>
  <c r="J12" i="22"/>
  <c r="J4" i="22"/>
  <c r="J35" i="22"/>
  <c r="J31" i="22"/>
  <c r="J27" i="22"/>
  <c r="J23" i="22"/>
  <c r="J19" i="22"/>
  <c r="J15" i="22"/>
  <c r="J11" i="22"/>
  <c r="H9" i="22"/>
  <c r="G9" i="22" s="1"/>
  <c r="G11" i="22"/>
  <c r="G7" i="22" s="1"/>
  <c r="G10" i="22"/>
  <c r="C14" i="22"/>
  <c r="C30" i="22"/>
  <c r="C10" i="22"/>
  <c r="C26" i="22"/>
  <c r="C19" i="22"/>
  <c r="C35" i="22"/>
  <c r="C13" i="22"/>
  <c r="C21" i="22"/>
  <c r="C29" i="22"/>
  <c r="C37" i="22"/>
  <c r="C16" i="22"/>
  <c r="C24" i="22"/>
  <c r="C32" i="22"/>
  <c r="B9" i="22"/>
  <c r="C15" i="22"/>
  <c r="C23" i="22"/>
  <c r="C31" i="22"/>
  <c r="C9" i="22"/>
  <c r="C17" i="22"/>
  <c r="C25" i="22"/>
  <c r="C33" i="22"/>
  <c r="C34" i="22"/>
  <c r="C22" i="22"/>
  <c r="C38" i="22"/>
  <c r="C18" i="22"/>
  <c r="C11" i="22"/>
  <c r="C27" i="22"/>
  <c r="C12" i="22"/>
  <c r="C20" i="22"/>
  <c r="C28" i="22"/>
  <c r="C36" i="22"/>
  <c r="D39" i="22"/>
  <c r="J39" i="22" s="1"/>
  <c r="D2" i="34"/>
  <c r="D5" i="34"/>
  <c r="C2" i="34"/>
  <c r="E7" i="35" l="1"/>
  <c r="E7" i="38"/>
  <c r="E7" i="40"/>
  <c r="E7" i="43"/>
  <c r="D11" i="43"/>
  <c r="C10" i="43"/>
  <c r="B10" i="43"/>
  <c r="J10" i="43"/>
  <c r="E7" i="45"/>
  <c r="E7" i="44"/>
  <c r="D10" i="42"/>
  <c r="C9" i="42"/>
  <c r="B9" i="42"/>
  <c r="J9" i="42"/>
  <c r="E7" i="42"/>
  <c r="J10" i="45"/>
  <c r="D11" i="45"/>
  <c r="C10" i="45"/>
  <c r="B10" i="45"/>
  <c r="J11" i="44"/>
  <c r="D12" i="44"/>
  <c r="C11" i="44"/>
  <c r="B11" i="44"/>
  <c r="J11" i="40"/>
  <c r="D12" i="40"/>
  <c r="C11" i="40"/>
  <c r="B11" i="40"/>
  <c r="D11" i="39"/>
  <c r="C10" i="39"/>
  <c r="B10" i="39"/>
  <c r="J10" i="39"/>
  <c r="J10" i="41"/>
  <c r="B10" i="41"/>
  <c r="D11" i="41"/>
  <c r="C10" i="41"/>
  <c r="D11" i="38"/>
  <c r="C10" i="38"/>
  <c r="B10" i="38"/>
  <c r="J10" i="38"/>
  <c r="E7" i="41"/>
  <c r="E7" i="39"/>
  <c r="E7" i="37"/>
  <c r="J10" i="37"/>
  <c r="D11" i="37"/>
  <c r="C10" i="37"/>
  <c r="B10" i="37"/>
  <c r="E7" i="36"/>
  <c r="J11" i="36"/>
  <c r="D12" i="36"/>
  <c r="C11" i="36"/>
  <c r="B11" i="36"/>
  <c r="J10" i="35"/>
  <c r="B10" i="35"/>
  <c r="D11" i="35"/>
  <c r="C10" i="35"/>
  <c r="H7" i="22"/>
  <c r="B10" i="22"/>
  <c r="B11" i="22" s="1"/>
  <c r="B12" i="22" s="1"/>
  <c r="C39" i="22"/>
  <c r="J12" i="44" l="1"/>
  <c r="D13" i="44"/>
  <c r="C12" i="44"/>
  <c r="B12" i="44"/>
  <c r="J11" i="43"/>
  <c r="D12" i="43"/>
  <c r="C11" i="43"/>
  <c r="B11" i="43"/>
  <c r="J11" i="45"/>
  <c r="D12" i="45"/>
  <c r="C11" i="45"/>
  <c r="B11" i="45"/>
  <c r="D11" i="42"/>
  <c r="C10" i="42"/>
  <c r="J10" i="42"/>
  <c r="B10" i="42"/>
  <c r="D12" i="38"/>
  <c r="C11" i="38"/>
  <c r="B11" i="38"/>
  <c r="J11" i="38"/>
  <c r="J11" i="39"/>
  <c r="D12" i="39"/>
  <c r="C11" i="39"/>
  <c r="B11" i="39"/>
  <c r="J11" i="41"/>
  <c r="D12" i="41"/>
  <c r="C11" i="41"/>
  <c r="B11" i="41"/>
  <c r="J12" i="40"/>
  <c r="B12" i="40"/>
  <c r="D13" i="40"/>
  <c r="C12" i="40"/>
  <c r="J11" i="37"/>
  <c r="D12" i="37"/>
  <c r="C11" i="37"/>
  <c r="B11" i="37"/>
  <c r="J12" i="36"/>
  <c r="D13" i="36"/>
  <c r="C12" i="36"/>
  <c r="B12" i="36"/>
  <c r="J11" i="35"/>
  <c r="D12" i="35"/>
  <c r="C11" i="35"/>
  <c r="B11" i="35"/>
  <c r="M10" i="34"/>
  <c r="K7" i="22"/>
  <c r="B13" i="22"/>
  <c r="B14" i="22" s="1"/>
  <c r="O6" i="34"/>
  <c r="B11" i="42" l="1"/>
  <c r="J11" i="42"/>
  <c r="C11" i="42"/>
  <c r="D12" i="42"/>
  <c r="B12" i="45"/>
  <c r="J12" i="45"/>
  <c r="D13" i="45"/>
  <c r="C12" i="45"/>
  <c r="D14" i="44"/>
  <c r="B13" i="44"/>
  <c r="J13" i="44"/>
  <c r="C13" i="44"/>
  <c r="J12" i="43"/>
  <c r="D13" i="43"/>
  <c r="C12" i="43"/>
  <c r="B12" i="43"/>
  <c r="D14" i="40"/>
  <c r="B13" i="40"/>
  <c r="J13" i="40"/>
  <c r="C13" i="40"/>
  <c r="J12" i="39"/>
  <c r="D13" i="39"/>
  <c r="C12" i="39"/>
  <c r="B12" i="39"/>
  <c r="B12" i="41"/>
  <c r="J12" i="41"/>
  <c r="D13" i="41"/>
  <c r="C12" i="41"/>
  <c r="J12" i="38"/>
  <c r="D13" i="38"/>
  <c r="C12" i="38"/>
  <c r="B12" i="38"/>
  <c r="D14" i="36"/>
  <c r="B13" i="36"/>
  <c r="J13" i="36"/>
  <c r="C13" i="36"/>
  <c r="B12" i="37"/>
  <c r="J12" i="37"/>
  <c r="D13" i="37"/>
  <c r="C12" i="37"/>
  <c r="B12" i="35"/>
  <c r="J12" i="35"/>
  <c r="D13" i="35"/>
  <c r="C12" i="35"/>
  <c r="N10" i="34"/>
  <c r="O10" i="34"/>
  <c r="M11" i="34"/>
  <c r="N11" i="34" s="1"/>
  <c r="B15" i="22"/>
  <c r="B16" i="22" s="1"/>
  <c r="B17" i="22" s="1"/>
  <c r="J12" i="42" l="1"/>
  <c r="D13" i="42"/>
  <c r="C12" i="42"/>
  <c r="B12" i="42"/>
  <c r="C14" i="44"/>
  <c r="D15" i="44"/>
  <c r="B14" i="44"/>
  <c r="J14" i="44"/>
  <c r="C13" i="45"/>
  <c r="D14" i="45"/>
  <c r="B13" i="45"/>
  <c r="J13" i="45"/>
  <c r="J13" i="43"/>
  <c r="C13" i="43"/>
  <c r="D14" i="43"/>
  <c r="B13" i="43"/>
  <c r="C13" i="41"/>
  <c r="D14" i="41"/>
  <c r="B13" i="41"/>
  <c r="J13" i="41"/>
  <c r="C14" i="40"/>
  <c r="D15" i="40"/>
  <c r="B14" i="40"/>
  <c r="J14" i="40"/>
  <c r="J13" i="38"/>
  <c r="C13" i="38"/>
  <c r="D14" i="38"/>
  <c r="B13" i="38"/>
  <c r="J13" i="39"/>
  <c r="D14" i="39"/>
  <c r="B13" i="39"/>
  <c r="C13" i="39"/>
  <c r="C14" i="36"/>
  <c r="D15" i="36"/>
  <c r="B14" i="36"/>
  <c r="J14" i="36"/>
  <c r="C13" i="37"/>
  <c r="D14" i="37"/>
  <c r="B13" i="37"/>
  <c r="J13" i="37"/>
  <c r="C13" i="35"/>
  <c r="D14" i="35"/>
  <c r="B13" i="35"/>
  <c r="J13" i="35"/>
  <c r="B18" i="22"/>
  <c r="J15" i="44" l="1"/>
  <c r="C15" i="44"/>
  <c r="D16" i="44"/>
  <c r="B15" i="44"/>
  <c r="C14" i="45"/>
  <c r="D15" i="45"/>
  <c r="B14" i="45"/>
  <c r="J14" i="45"/>
  <c r="J13" i="42"/>
  <c r="C13" i="42"/>
  <c r="D14" i="42"/>
  <c r="B13" i="42"/>
  <c r="C14" i="43"/>
  <c r="D15" i="43"/>
  <c r="B14" i="43"/>
  <c r="J14" i="43"/>
  <c r="C14" i="39"/>
  <c r="D15" i="39"/>
  <c r="B14" i="39"/>
  <c r="J14" i="39"/>
  <c r="J15" i="40"/>
  <c r="C15" i="40"/>
  <c r="D16" i="40"/>
  <c r="B15" i="40"/>
  <c r="D15" i="38"/>
  <c r="B14" i="38"/>
  <c r="J14" i="38"/>
  <c r="C14" i="38"/>
  <c r="C14" i="41"/>
  <c r="D15" i="41"/>
  <c r="B14" i="41"/>
  <c r="J14" i="41"/>
  <c r="C14" i="37"/>
  <c r="D15" i="37"/>
  <c r="B14" i="37"/>
  <c r="J14" i="37"/>
  <c r="J15" i="36"/>
  <c r="D16" i="36"/>
  <c r="B15" i="36"/>
  <c r="C15" i="36"/>
  <c r="C14" i="35"/>
  <c r="D15" i="35"/>
  <c r="B14" i="35"/>
  <c r="J14" i="35"/>
  <c r="B19" i="22"/>
  <c r="B20" i="22" s="1"/>
  <c r="O12" i="34"/>
  <c r="J11" i="34" s="1"/>
  <c r="C15" i="43" l="1"/>
  <c r="D16" i="43"/>
  <c r="B15" i="43"/>
  <c r="J15" i="43"/>
  <c r="J15" i="45"/>
  <c r="C15" i="45"/>
  <c r="D16" i="45"/>
  <c r="B15" i="45"/>
  <c r="D15" i="42"/>
  <c r="B14" i="42"/>
  <c r="J14" i="42"/>
  <c r="C14" i="42"/>
  <c r="J16" i="44"/>
  <c r="C16" i="44"/>
  <c r="D17" i="44"/>
  <c r="B16" i="44"/>
  <c r="J16" i="40"/>
  <c r="C16" i="40"/>
  <c r="D17" i="40"/>
  <c r="B16" i="40"/>
  <c r="J15" i="41"/>
  <c r="C15" i="41"/>
  <c r="D16" i="41"/>
  <c r="B15" i="41"/>
  <c r="C15" i="39"/>
  <c r="D16" i="39"/>
  <c r="B15" i="39"/>
  <c r="J15" i="39"/>
  <c r="C15" i="38"/>
  <c r="D16" i="38"/>
  <c r="B15" i="38"/>
  <c r="J15" i="38"/>
  <c r="J16" i="36"/>
  <c r="C16" i="36"/>
  <c r="D17" i="36"/>
  <c r="B16" i="36"/>
  <c r="J15" i="37"/>
  <c r="C15" i="37"/>
  <c r="D16" i="37"/>
  <c r="B15" i="37"/>
  <c r="J15" i="35"/>
  <c r="C15" i="35"/>
  <c r="D16" i="35"/>
  <c r="B15" i="35"/>
  <c r="B21" i="22"/>
  <c r="B22" i="22" s="1"/>
  <c r="B23" i="22" s="1"/>
  <c r="B24" i="22" s="1"/>
  <c r="B25" i="22" s="1"/>
  <c r="M8" i="34"/>
  <c r="N8" i="34" s="1"/>
  <c r="C15" i="42" l="1"/>
  <c r="D16" i="42"/>
  <c r="B15" i="42"/>
  <c r="J15" i="42"/>
  <c r="D18" i="44"/>
  <c r="B17" i="44"/>
  <c r="J17" i="44"/>
  <c r="C17" i="44"/>
  <c r="J16" i="45"/>
  <c r="C16" i="45"/>
  <c r="D17" i="45"/>
  <c r="B16" i="45"/>
  <c r="J16" i="43"/>
  <c r="C16" i="43"/>
  <c r="D17" i="43"/>
  <c r="B16" i="43"/>
  <c r="J16" i="39"/>
  <c r="C16" i="39"/>
  <c r="D17" i="39"/>
  <c r="B16" i="39"/>
  <c r="J16" i="38"/>
  <c r="D17" i="38"/>
  <c r="B16" i="38"/>
  <c r="C16" i="38"/>
  <c r="J16" i="41"/>
  <c r="C16" i="41"/>
  <c r="D17" i="41"/>
  <c r="B16" i="41"/>
  <c r="D18" i="40"/>
  <c r="B17" i="40"/>
  <c r="J17" i="40"/>
  <c r="C17" i="40"/>
  <c r="D18" i="36"/>
  <c r="B17" i="36"/>
  <c r="J17" i="36"/>
  <c r="C17" i="36"/>
  <c r="J16" i="37"/>
  <c r="C16" i="37"/>
  <c r="D17" i="37"/>
  <c r="B16" i="37"/>
  <c r="J16" i="35"/>
  <c r="C16" i="35"/>
  <c r="B16" i="35"/>
  <c r="D17" i="35"/>
  <c r="B26" i="22"/>
  <c r="B27" i="22" s="1"/>
  <c r="O8" i="34"/>
  <c r="J17" i="43" l="1"/>
  <c r="C17" i="43"/>
  <c r="D18" i="43"/>
  <c r="B17" i="43"/>
  <c r="C18" i="44"/>
  <c r="D19" i="44"/>
  <c r="B18" i="44"/>
  <c r="J18" i="44"/>
  <c r="C17" i="45"/>
  <c r="D18" i="45"/>
  <c r="B17" i="45"/>
  <c r="J17" i="45"/>
  <c r="J16" i="42"/>
  <c r="D17" i="42"/>
  <c r="B16" i="42"/>
  <c r="C16" i="42"/>
  <c r="J17" i="38"/>
  <c r="C17" i="38"/>
  <c r="D18" i="38"/>
  <c r="B17" i="38"/>
  <c r="C18" i="40"/>
  <c r="D19" i="40"/>
  <c r="B18" i="40"/>
  <c r="J18" i="40"/>
  <c r="C17" i="41"/>
  <c r="D18" i="41"/>
  <c r="B17" i="41"/>
  <c r="J17" i="41"/>
  <c r="J17" i="39"/>
  <c r="D18" i="39"/>
  <c r="B17" i="39"/>
  <c r="C17" i="39"/>
  <c r="C17" i="37"/>
  <c r="D18" i="37"/>
  <c r="B17" i="37"/>
  <c r="J17" i="37"/>
  <c r="C18" i="36"/>
  <c r="D19" i="36"/>
  <c r="B18" i="36"/>
  <c r="J18" i="36"/>
  <c r="C17" i="35"/>
  <c r="D18" i="35"/>
  <c r="B17" i="35"/>
  <c r="J17" i="35"/>
  <c r="B28" i="22"/>
  <c r="B29" i="22" s="1"/>
  <c r="B30" i="22" s="1"/>
  <c r="B31" i="22" s="1"/>
  <c r="B32" i="22" s="1"/>
  <c r="B33" i="22" s="1"/>
  <c r="J17" i="42" l="1"/>
  <c r="C17" i="42"/>
  <c r="D18" i="42"/>
  <c r="B17" i="42"/>
  <c r="J19" i="44"/>
  <c r="C19" i="44"/>
  <c r="D20" i="44"/>
  <c r="B19" i="44"/>
  <c r="C18" i="43"/>
  <c r="D19" i="43"/>
  <c r="B18" i="43"/>
  <c r="J18" i="43"/>
  <c r="C18" i="45"/>
  <c r="D19" i="45"/>
  <c r="B18" i="45"/>
  <c r="J18" i="45"/>
  <c r="C18" i="39"/>
  <c r="D19" i="39"/>
  <c r="B18" i="39"/>
  <c r="J18" i="39"/>
  <c r="J19" i="40"/>
  <c r="C19" i="40"/>
  <c r="D20" i="40"/>
  <c r="B19" i="40"/>
  <c r="D19" i="38"/>
  <c r="B18" i="38"/>
  <c r="J18" i="38"/>
  <c r="C18" i="38"/>
  <c r="C18" i="41"/>
  <c r="D19" i="41"/>
  <c r="B18" i="41"/>
  <c r="J18" i="41"/>
  <c r="J19" i="36"/>
  <c r="C19" i="36"/>
  <c r="D20" i="36"/>
  <c r="B19" i="36"/>
  <c r="C18" i="37"/>
  <c r="D19" i="37"/>
  <c r="B18" i="37"/>
  <c r="J18" i="37"/>
  <c r="C18" i="35"/>
  <c r="D19" i="35"/>
  <c r="B18" i="35"/>
  <c r="J18" i="35"/>
  <c r="B34" i="22"/>
  <c r="B35" i="22" s="1"/>
  <c r="B36" i="22" s="1"/>
  <c r="B37" i="22" s="1"/>
  <c r="J20" i="44" l="1"/>
  <c r="C20" i="44"/>
  <c r="D21" i="44"/>
  <c r="B20" i="44"/>
  <c r="D19" i="42"/>
  <c r="B18" i="42"/>
  <c r="J18" i="42"/>
  <c r="C18" i="42"/>
  <c r="J19" i="45"/>
  <c r="C19" i="45"/>
  <c r="D20" i="45"/>
  <c r="B19" i="45"/>
  <c r="C19" i="43"/>
  <c r="D20" i="43"/>
  <c r="B19" i="43"/>
  <c r="J19" i="43"/>
  <c r="J20" i="40"/>
  <c r="C20" i="40"/>
  <c r="B20" i="40"/>
  <c r="D21" i="40"/>
  <c r="J19" i="41"/>
  <c r="C19" i="41"/>
  <c r="D20" i="41"/>
  <c r="B19" i="41"/>
  <c r="C19" i="38"/>
  <c r="D20" i="38"/>
  <c r="B19" i="38"/>
  <c r="J19" i="38"/>
  <c r="C19" i="39"/>
  <c r="D20" i="39"/>
  <c r="B19" i="39"/>
  <c r="J19" i="39"/>
  <c r="J19" i="37"/>
  <c r="C19" i="37"/>
  <c r="D20" i="37"/>
  <c r="B19" i="37"/>
  <c r="J20" i="36"/>
  <c r="C20" i="36"/>
  <c r="D21" i="36"/>
  <c r="B20" i="36"/>
  <c r="J19" i="35"/>
  <c r="C19" i="35"/>
  <c r="D20" i="35"/>
  <c r="B19" i="35"/>
  <c r="B38" i="22"/>
  <c r="B39" i="22" s="1"/>
  <c r="D1" i="34"/>
  <c r="C19" i="42" l="1"/>
  <c r="D20" i="42"/>
  <c r="B19" i="42"/>
  <c r="J19" i="42"/>
  <c r="J20" i="43"/>
  <c r="C20" i="43"/>
  <c r="D21" i="43"/>
  <c r="B20" i="43"/>
  <c r="J20" i="45"/>
  <c r="C20" i="45"/>
  <c r="D21" i="45"/>
  <c r="B20" i="45"/>
  <c r="D22" i="44"/>
  <c r="B21" i="44"/>
  <c r="J21" i="44"/>
  <c r="C21" i="44"/>
  <c r="J20" i="41"/>
  <c r="C20" i="41"/>
  <c r="D21" i="41"/>
  <c r="B20" i="41"/>
  <c r="J20" i="39"/>
  <c r="C20" i="39"/>
  <c r="D21" i="39"/>
  <c r="B20" i="39"/>
  <c r="D22" i="40"/>
  <c r="B21" i="40"/>
  <c r="J21" i="40"/>
  <c r="C21" i="40"/>
  <c r="J20" i="38"/>
  <c r="D21" i="38"/>
  <c r="B20" i="38"/>
  <c r="C20" i="38"/>
  <c r="D22" i="36"/>
  <c r="B21" i="36"/>
  <c r="J21" i="36"/>
  <c r="C21" i="36"/>
  <c r="J20" i="37"/>
  <c r="C20" i="37"/>
  <c r="D21" i="37"/>
  <c r="B20" i="37"/>
  <c r="J20" i="35"/>
  <c r="C20" i="35"/>
  <c r="D21" i="35"/>
  <c r="B20" i="35"/>
  <c r="O11" i="34"/>
  <c r="M7" i="34"/>
  <c r="N7" i="34" s="1"/>
  <c r="J21" i="43" l="1"/>
  <c r="C21" i="43"/>
  <c r="D22" i="43"/>
  <c r="B21" i="43"/>
  <c r="C22" i="44"/>
  <c r="D23" i="44"/>
  <c r="B22" i="44"/>
  <c r="J22" i="44"/>
  <c r="C21" i="45"/>
  <c r="D22" i="45"/>
  <c r="B21" i="45"/>
  <c r="J21" i="45"/>
  <c r="J20" i="42"/>
  <c r="D21" i="42"/>
  <c r="B20" i="42"/>
  <c r="C20" i="42"/>
  <c r="J21" i="39"/>
  <c r="D22" i="39"/>
  <c r="B21" i="39"/>
  <c r="C21" i="39"/>
  <c r="J21" i="38"/>
  <c r="C21" i="38"/>
  <c r="D22" i="38"/>
  <c r="B21" i="38"/>
  <c r="C21" i="41"/>
  <c r="D22" i="41"/>
  <c r="B21" i="41"/>
  <c r="J21" i="41"/>
  <c r="C22" i="40"/>
  <c r="D23" i="40"/>
  <c r="B22" i="40"/>
  <c r="J22" i="40"/>
  <c r="C21" i="37"/>
  <c r="D22" i="37"/>
  <c r="B21" i="37"/>
  <c r="J21" i="37"/>
  <c r="C22" i="36"/>
  <c r="D23" i="36"/>
  <c r="B22" i="36"/>
  <c r="J22" i="36"/>
  <c r="C21" i="35"/>
  <c r="D22" i="35"/>
  <c r="B21" i="35"/>
  <c r="J21" i="35"/>
  <c r="O7" i="34"/>
  <c r="J21" i="42" l="1"/>
  <c r="C21" i="42"/>
  <c r="D22" i="42"/>
  <c r="B21" i="42"/>
  <c r="J23" i="44"/>
  <c r="C23" i="44"/>
  <c r="D24" i="44"/>
  <c r="B23" i="44"/>
  <c r="C22" i="43"/>
  <c r="D23" i="43"/>
  <c r="B22" i="43"/>
  <c r="J22" i="43"/>
  <c r="C22" i="45"/>
  <c r="D23" i="45"/>
  <c r="B22" i="45"/>
  <c r="J22" i="45"/>
  <c r="D23" i="38"/>
  <c r="B22" i="38"/>
  <c r="J22" i="38"/>
  <c r="C22" i="38"/>
  <c r="J23" i="40"/>
  <c r="C23" i="40"/>
  <c r="D24" i="40"/>
  <c r="B23" i="40"/>
  <c r="C22" i="41"/>
  <c r="D23" i="41"/>
  <c r="B22" i="41"/>
  <c r="J22" i="41"/>
  <c r="C22" i="39"/>
  <c r="D23" i="39"/>
  <c r="B22" i="39"/>
  <c r="J22" i="39"/>
  <c r="J23" i="36"/>
  <c r="C23" i="36"/>
  <c r="D24" i="36"/>
  <c r="B23" i="36"/>
  <c r="C22" i="37"/>
  <c r="D23" i="37"/>
  <c r="B22" i="37"/>
  <c r="J22" i="37"/>
  <c r="C22" i="35"/>
  <c r="D23" i="35"/>
  <c r="B22" i="35"/>
  <c r="J22" i="35"/>
  <c r="D23" i="42" l="1"/>
  <c r="B22" i="42"/>
  <c r="J22" i="42"/>
  <c r="C22" i="42"/>
  <c r="J24" i="44"/>
  <c r="C24" i="44"/>
  <c r="D25" i="44"/>
  <c r="B24" i="44"/>
  <c r="J23" i="45"/>
  <c r="C23" i="45"/>
  <c r="D24" i="45"/>
  <c r="B23" i="45"/>
  <c r="C23" i="43"/>
  <c r="D24" i="43"/>
  <c r="B23" i="43"/>
  <c r="J23" i="43"/>
  <c r="J24" i="40"/>
  <c r="B24" i="40"/>
  <c r="C24" i="40"/>
  <c r="D25" i="40"/>
  <c r="J23" i="41"/>
  <c r="C23" i="41"/>
  <c r="D24" i="41"/>
  <c r="B23" i="41"/>
  <c r="C23" i="39"/>
  <c r="D24" i="39"/>
  <c r="B23" i="39"/>
  <c r="J23" i="39"/>
  <c r="C23" i="38"/>
  <c r="D24" i="38"/>
  <c r="B23" i="38"/>
  <c r="J23" i="38"/>
  <c r="J23" i="37"/>
  <c r="C23" i="37"/>
  <c r="D24" i="37"/>
  <c r="B23" i="37"/>
  <c r="J24" i="36"/>
  <c r="C24" i="36"/>
  <c r="D25" i="36"/>
  <c r="B24" i="36"/>
  <c r="J23" i="35"/>
  <c r="C23" i="35"/>
  <c r="D24" i="35"/>
  <c r="B23" i="35"/>
  <c r="D26" i="44" l="1"/>
  <c r="B25" i="44"/>
  <c r="J25" i="44"/>
  <c r="C25" i="44"/>
  <c r="J24" i="43"/>
  <c r="C24" i="43"/>
  <c r="D25" i="43"/>
  <c r="B24" i="43"/>
  <c r="J24" i="45"/>
  <c r="C24" i="45"/>
  <c r="D25" i="45"/>
  <c r="B24" i="45"/>
  <c r="C23" i="42"/>
  <c r="D24" i="42"/>
  <c r="B23" i="42"/>
  <c r="J23" i="42"/>
  <c r="J24" i="41"/>
  <c r="C24" i="41"/>
  <c r="D25" i="41"/>
  <c r="B24" i="41"/>
  <c r="D26" i="40"/>
  <c r="B25" i="40"/>
  <c r="J25" i="40"/>
  <c r="C25" i="40"/>
  <c r="J24" i="38"/>
  <c r="D25" i="38"/>
  <c r="B24" i="38"/>
  <c r="C24" i="38"/>
  <c r="J24" i="39"/>
  <c r="C24" i="39"/>
  <c r="D25" i="39"/>
  <c r="B24" i="39"/>
  <c r="J24" i="37"/>
  <c r="C24" i="37"/>
  <c r="D25" i="37"/>
  <c r="B24" i="37"/>
  <c r="D26" i="36"/>
  <c r="B25" i="36"/>
  <c r="J25" i="36"/>
  <c r="C25" i="36"/>
  <c r="J24" i="35"/>
  <c r="C24" i="35"/>
  <c r="D25" i="35"/>
  <c r="B24" i="35"/>
  <c r="J25" i="43" l="1"/>
  <c r="C25" i="43"/>
  <c r="D26" i="43"/>
  <c r="B25" i="43"/>
  <c r="J24" i="42"/>
  <c r="D25" i="42"/>
  <c r="B24" i="42"/>
  <c r="C24" i="42"/>
  <c r="C25" i="45"/>
  <c r="D26" i="45"/>
  <c r="B25" i="45"/>
  <c r="J25" i="45"/>
  <c r="C26" i="44"/>
  <c r="D27" i="44"/>
  <c r="B26" i="44"/>
  <c r="J26" i="44"/>
  <c r="C26" i="40"/>
  <c r="D27" i="40"/>
  <c r="B26" i="40"/>
  <c r="J26" i="40"/>
  <c r="J25" i="39"/>
  <c r="D26" i="39"/>
  <c r="B25" i="39"/>
  <c r="C25" i="39"/>
  <c r="C25" i="41"/>
  <c r="D26" i="41"/>
  <c r="B25" i="41"/>
  <c r="J25" i="41"/>
  <c r="J25" i="38"/>
  <c r="C25" i="38"/>
  <c r="B25" i="38"/>
  <c r="D26" i="38"/>
  <c r="C26" i="36"/>
  <c r="D27" i="36"/>
  <c r="B26" i="36"/>
  <c r="J26" i="36"/>
  <c r="C25" i="37"/>
  <c r="D26" i="37"/>
  <c r="B25" i="37"/>
  <c r="J25" i="37"/>
  <c r="C25" i="35"/>
  <c r="D26" i="35"/>
  <c r="B25" i="35"/>
  <c r="J25" i="35"/>
  <c r="J27" i="44" l="1"/>
  <c r="C27" i="44"/>
  <c r="D28" i="44"/>
  <c r="B27" i="44"/>
  <c r="J25" i="42"/>
  <c r="C25" i="42"/>
  <c r="D26" i="42"/>
  <c r="B25" i="42"/>
  <c r="C26" i="43"/>
  <c r="D27" i="43"/>
  <c r="B26" i="43"/>
  <c r="J26" i="43"/>
  <c r="C26" i="45"/>
  <c r="D27" i="45"/>
  <c r="B26" i="45"/>
  <c r="J26" i="45"/>
  <c r="C26" i="39"/>
  <c r="D27" i="39"/>
  <c r="B26" i="39"/>
  <c r="J26" i="39"/>
  <c r="D27" i="38"/>
  <c r="B26" i="38"/>
  <c r="J26" i="38"/>
  <c r="C26" i="38"/>
  <c r="C26" i="41"/>
  <c r="D27" i="41"/>
  <c r="B26" i="41"/>
  <c r="J26" i="41"/>
  <c r="J27" i="40"/>
  <c r="C27" i="40"/>
  <c r="D28" i="40"/>
  <c r="B27" i="40"/>
  <c r="C26" i="37"/>
  <c r="D27" i="37"/>
  <c r="B26" i="37"/>
  <c r="J26" i="37"/>
  <c r="J27" i="36"/>
  <c r="C27" i="36"/>
  <c r="D28" i="36"/>
  <c r="B27" i="36"/>
  <c r="C26" i="35"/>
  <c r="D27" i="35"/>
  <c r="B26" i="35"/>
  <c r="J26" i="35"/>
  <c r="J7" i="22"/>
  <c r="J27" i="45" l="1"/>
  <c r="C27" i="45"/>
  <c r="D28" i="45"/>
  <c r="B27" i="45"/>
  <c r="C27" i="43"/>
  <c r="D28" i="43"/>
  <c r="B27" i="43"/>
  <c r="J27" i="43"/>
  <c r="J28" i="44"/>
  <c r="C28" i="44"/>
  <c r="D29" i="44"/>
  <c r="B28" i="44"/>
  <c r="D27" i="42"/>
  <c r="B26" i="42"/>
  <c r="J26" i="42"/>
  <c r="C26" i="42"/>
  <c r="C27" i="38"/>
  <c r="D28" i="38"/>
  <c r="B27" i="38"/>
  <c r="J27" i="38"/>
  <c r="J28" i="40"/>
  <c r="D29" i="40"/>
  <c r="C28" i="40"/>
  <c r="B28" i="40"/>
  <c r="J27" i="41"/>
  <c r="C27" i="41"/>
  <c r="D28" i="41"/>
  <c r="B27" i="41"/>
  <c r="C27" i="39"/>
  <c r="D28" i="39"/>
  <c r="B27" i="39"/>
  <c r="J27" i="39"/>
  <c r="J28" i="36"/>
  <c r="C28" i="36"/>
  <c r="D29" i="36"/>
  <c r="B28" i="36"/>
  <c r="J27" i="37"/>
  <c r="C27" i="37"/>
  <c r="D28" i="37"/>
  <c r="B27" i="37"/>
  <c r="J27" i="35"/>
  <c r="C27" i="35"/>
  <c r="D28" i="35"/>
  <c r="B27" i="35"/>
  <c r="J28" i="43" l="1"/>
  <c r="C28" i="43"/>
  <c r="D29" i="43"/>
  <c r="B28" i="43"/>
  <c r="C27" i="42"/>
  <c r="D28" i="42"/>
  <c r="B27" i="42"/>
  <c r="J27" i="42"/>
  <c r="D30" i="44"/>
  <c r="B29" i="44"/>
  <c r="J29" i="44"/>
  <c r="C29" i="44"/>
  <c r="J28" i="45"/>
  <c r="C28" i="45"/>
  <c r="D29" i="45"/>
  <c r="B28" i="45"/>
  <c r="J28" i="39"/>
  <c r="C28" i="39"/>
  <c r="D29" i="39"/>
  <c r="B28" i="39"/>
  <c r="D30" i="40"/>
  <c r="B29" i="40"/>
  <c r="J29" i="40"/>
  <c r="C29" i="40"/>
  <c r="J28" i="41"/>
  <c r="C28" i="41"/>
  <c r="D29" i="41"/>
  <c r="B28" i="41"/>
  <c r="J28" i="38"/>
  <c r="D29" i="38"/>
  <c r="B28" i="38"/>
  <c r="C28" i="38"/>
  <c r="J28" i="37"/>
  <c r="C28" i="37"/>
  <c r="D29" i="37"/>
  <c r="B28" i="37"/>
  <c r="D30" i="36"/>
  <c r="B29" i="36"/>
  <c r="J29" i="36"/>
  <c r="C29" i="36"/>
  <c r="J28" i="35"/>
  <c r="D29" i="35"/>
  <c r="C28" i="35"/>
  <c r="B28" i="35"/>
  <c r="J28" i="42" l="1"/>
  <c r="D29" i="42"/>
  <c r="B28" i="42"/>
  <c r="C28" i="42"/>
  <c r="J29" i="43"/>
  <c r="C29" i="43"/>
  <c r="D30" i="43"/>
  <c r="B29" i="43"/>
  <c r="C29" i="45"/>
  <c r="D30" i="45"/>
  <c r="B29" i="45"/>
  <c r="J29" i="45"/>
  <c r="C30" i="44"/>
  <c r="D31" i="44"/>
  <c r="B30" i="44"/>
  <c r="J30" i="44"/>
  <c r="J29" i="38"/>
  <c r="C29" i="38"/>
  <c r="D30" i="38"/>
  <c r="B29" i="38"/>
  <c r="C30" i="40"/>
  <c r="D31" i="40"/>
  <c r="B30" i="40"/>
  <c r="J30" i="40"/>
  <c r="C29" i="41"/>
  <c r="D30" i="41"/>
  <c r="B29" i="41"/>
  <c r="J29" i="41"/>
  <c r="J29" i="39"/>
  <c r="D30" i="39"/>
  <c r="B29" i="39"/>
  <c r="C29" i="39"/>
  <c r="C30" i="36"/>
  <c r="D31" i="36"/>
  <c r="B30" i="36"/>
  <c r="J30" i="36"/>
  <c r="C29" i="37"/>
  <c r="D30" i="37"/>
  <c r="B29" i="37"/>
  <c r="J29" i="37"/>
  <c r="C29" i="35"/>
  <c r="D30" i="35"/>
  <c r="B29" i="35"/>
  <c r="J29" i="35"/>
  <c r="J31" i="44" l="1"/>
  <c r="C31" i="44"/>
  <c r="D32" i="44"/>
  <c r="B31" i="44"/>
  <c r="C30" i="45"/>
  <c r="D31" i="45"/>
  <c r="B30" i="45"/>
  <c r="J30" i="45"/>
  <c r="J29" i="42"/>
  <c r="C29" i="42"/>
  <c r="D30" i="42"/>
  <c r="B29" i="42"/>
  <c r="C30" i="43"/>
  <c r="D31" i="43"/>
  <c r="B30" i="43"/>
  <c r="J30" i="43"/>
  <c r="C30" i="39"/>
  <c r="D31" i="39"/>
  <c r="B30" i="39"/>
  <c r="J30" i="39"/>
  <c r="J31" i="40"/>
  <c r="C31" i="40"/>
  <c r="D32" i="40"/>
  <c r="B31" i="40"/>
  <c r="D31" i="38"/>
  <c r="B30" i="38"/>
  <c r="J30" i="38"/>
  <c r="C30" i="38"/>
  <c r="C30" i="41"/>
  <c r="D31" i="41"/>
  <c r="B30" i="41"/>
  <c r="J30" i="41"/>
  <c r="C30" i="37"/>
  <c r="D31" i="37"/>
  <c r="B30" i="37"/>
  <c r="J30" i="37"/>
  <c r="J31" i="36"/>
  <c r="C31" i="36"/>
  <c r="D32" i="36"/>
  <c r="B31" i="36"/>
  <c r="C30" i="35"/>
  <c r="D31" i="35"/>
  <c r="B30" i="35"/>
  <c r="J30" i="35"/>
  <c r="C31" i="43" l="1"/>
  <c r="D32" i="43"/>
  <c r="B31" i="43"/>
  <c r="J31" i="43"/>
  <c r="J31" i="45"/>
  <c r="C31" i="45"/>
  <c r="D32" i="45"/>
  <c r="B31" i="45"/>
  <c r="D31" i="42"/>
  <c r="B30" i="42"/>
  <c r="J30" i="42"/>
  <c r="C30" i="42"/>
  <c r="J32" i="44"/>
  <c r="C32" i="44"/>
  <c r="D33" i="44"/>
  <c r="B32" i="44"/>
  <c r="J32" i="40"/>
  <c r="D33" i="40"/>
  <c r="B32" i="40"/>
  <c r="C32" i="40"/>
  <c r="J31" i="41"/>
  <c r="C31" i="41"/>
  <c r="D32" i="41"/>
  <c r="B31" i="41"/>
  <c r="C31" i="39"/>
  <c r="D32" i="39"/>
  <c r="B31" i="39"/>
  <c r="J31" i="39"/>
  <c r="C31" i="38"/>
  <c r="D32" i="38"/>
  <c r="B31" i="38"/>
  <c r="J31" i="38"/>
  <c r="J32" i="36"/>
  <c r="C32" i="36"/>
  <c r="D33" i="36"/>
  <c r="B32" i="36"/>
  <c r="J31" i="37"/>
  <c r="C31" i="37"/>
  <c r="D32" i="37"/>
  <c r="B31" i="37"/>
  <c r="J31" i="35"/>
  <c r="C31" i="35"/>
  <c r="D32" i="35"/>
  <c r="B31" i="35"/>
  <c r="J32" i="45" l="1"/>
  <c r="C32" i="45"/>
  <c r="D33" i="45"/>
  <c r="B32" i="45"/>
  <c r="J32" i="43"/>
  <c r="C32" i="43"/>
  <c r="D33" i="43"/>
  <c r="B32" i="43"/>
  <c r="D34" i="44"/>
  <c r="B33" i="44"/>
  <c r="J33" i="44"/>
  <c r="C33" i="44"/>
  <c r="C31" i="42"/>
  <c r="D32" i="42"/>
  <c r="B31" i="42"/>
  <c r="J31" i="42"/>
  <c r="J32" i="41"/>
  <c r="C32" i="41"/>
  <c r="D33" i="41"/>
  <c r="B32" i="41"/>
  <c r="J32" i="38"/>
  <c r="C32" i="38"/>
  <c r="D33" i="38"/>
  <c r="B32" i="38"/>
  <c r="J32" i="39"/>
  <c r="C32" i="39"/>
  <c r="D33" i="39"/>
  <c r="B32" i="39"/>
  <c r="D34" i="40"/>
  <c r="B33" i="40"/>
  <c r="J33" i="40"/>
  <c r="C33" i="40"/>
  <c r="J32" i="37"/>
  <c r="C32" i="37"/>
  <c r="D33" i="37"/>
  <c r="B32" i="37"/>
  <c r="D34" i="36"/>
  <c r="B33" i="36"/>
  <c r="J33" i="36"/>
  <c r="C33" i="36"/>
  <c r="J32" i="35"/>
  <c r="D33" i="35"/>
  <c r="C32" i="35"/>
  <c r="B32" i="35"/>
  <c r="C33" i="45" l="1"/>
  <c r="D34" i="45"/>
  <c r="B33" i="45"/>
  <c r="J33" i="45"/>
  <c r="J32" i="42"/>
  <c r="D33" i="42"/>
  <c r="B32" i="42"/>
  <c r="C32" i="42"/>
  <c r="J33" i="43"/>
  <c r="C33" i="43"/>
  <c r="D34" i="43"/>
  <c r="B33" i="43"/>
  <c r="C34" i="44"/>
  <c r="D35" i="44"/>
  <c r="B34" i="44"/>
  <c r="J34" i="44"/>
  <c r="J33" i="38"/>
  <c r="C33" i="38"/>
  <c r="D34" i="38"/>
  <c r="B33" i="38"/>
  <c r="C34" i="40"/>
  <c r="D35" i="40"/>
  <c r="B34" i="40"/>
  <c r="J34" i="40"/>
  <c r="J33" i="39"/>
  <c r="D34" i="39"/>
  <c r="B33" i="39"/>
  <c r="C33" i="39"/>
  <c r="C33" i="41"/>
  <c r="D34" i="41"/>
  <c r="B33" i="41"/>
  <c r="J33" i="41"/>
  <c r="C34" i="36"/>
  <c r="D35" i="36"/>
  <c r="B34" i="36"/>
  <c r="J34" i="36"/>
  <c r="C33" i="37"/>
  <c r="D34" i="37"/>
  <c r="B33" i="37"/>
  <c r="J33" i="37"/>
  <c r="C33" i="35"/>
  <c r="D34" i="35"/>
  <c r="B33" i="35"/>
  <c r="J33" i="35"/>
  <c r="J35" i="44" l="1"/>
  <c r="C35" i="44"/>
  <c r="D36" i="44"/>
  <c r="B35" i="44"/>
  <c r="J33" i="42"/>
  <c r="C33" i="42"/>
  <c r="D34" i="42"/>
  <c r="B33" i="42"/>
  <c r="C34" i="43"/>
  <c r="D35" i="43"/>
  <c r="B34" i="43"/>
  <c r="J34" i="43"/>
  <c r="C34" i="45"/>
  <c r="D35" i="45"/>
  <c r="B34" i="45"/>
  <c r="J34" i="45"/>
  <c r="C34" i="41"/>
  <c r="D35" i="41"/>
  <c r="B34" i="41"/>
  <c r="J34" i="41"/>
  <c r="J35" i="40"/>
  <c r="C35" i="40"/>
  <c r="D36" i="40"/>
  <c r="B35" i="40"/>
  <c r="D35" i="38"/>
  <c r="B34" i="38"/>
  <c r="J34" i="38"/>
  <c r="C34" i="38"/>
  <c r="C34" i="39"/>
  <c r="D35" i="39"/>
  <c r="B34" i="39"/>
  <c r="J34" i="39"/>
  <c r="C34" i="37"/>
  <c r="D35" i="37"/>
  <c r="B34" i="37"/>
  <c r="J34" i="37"/>
  <c r="J35" i="36"/>
  <c r="C35" i="36"/>
  <c r="D36" i="36"/>
  <c r="B35" i="36"/>
  <c r="C34" i="35"/>
  <c r="D35" i="35"/>
  <c r="B34" i="35"/>
  <c r="J34" i="35"/>
  <c r="D35" i="42" l="1"/>
  <c r="B34" i="42"/>
  <c r="J34" i="42"/>
  <c r="C34" i="42"/>
  <c r="J35" i="45"/>
  <c r="C35" i="45"/>
  <c r="D36" i="45"/>
  <c r="B35" i="45"/>
  <c r="J36" i="44"/>
  <c r="C36" i="44"/>
  <c r="D37" i="44"/>
  <c r="B36" i="44"/>
  <c r="C35" i="43"/>
  <c r="D36" i="43"/>
  <c r="B35" i="43"/>
  <c r="J35" i="43"/>
  <c r="J36" i="40"/>
  <c r="B36" i="40"/>
  <c r="C36" i="40"/>
  <c r="D37" i="40"/>
  <c r="J35" i="41"/>
  <c r="C35" i="41"/>
  <c r="D36" i="41"/>
  <c r="B35" i="41"/>
  <c r="C35" i="39"/>
  <c r="D36" i="39"/>
  <c r="B35" i="39"/>
  <c r="J35" i="39"/>
  <c r="C35" i="38"/>
  <c r="D36" i="38"/>
  <c r="B35" i="38"/>
  <c r="J35" i="38"/>
  <c r="J36" i="36"/>
  <c r="C36" i="36"/>
  <c r="D37" i="36"/>
  <c r="B36" i="36"/>
  <c r="J35" i="37"/>
  <c r="C35" i="37"/>
  <c r="D36" i="37"/>
  <c r="B35" i="37"/>
  <c r="J35" i="35"/>
  <c r="C35" i="35"/>
  <c r="D36" i="35"/>
  <c r="B35" i="35"/>
  <c r="J36" i="45" l="1"/>
  <c r="C36" i="45"/>
  <c r="D37" i="45"/>
  <c r="B36" i="45"/>
  <c r="J36" i="43"/>
  <c r="C36" i="43"/>
  <c r="D37" i="43"/>
  <c r="B36" i="43"/>
  <c r="D38" i="44"/>
  <c r="B37" i="44"/>
  <c r="J37" i="44"/>
  <c r="C37" i="44"/>
  <c r="C35" i="42"/>
  <c r="D36" i="42"/>
  <c r="B35" i="42"/>
  <c r="J35" i="42"/>
  <c r="J36" i="41"/>
  <c r="C36" i="41"/>
  <c r="D37" i="41"/>
  <c r="B36" i="41"/>
  <c r="J36" i="38"/>
  <c r="C36" i="38"/>
  <c r="D37" i="38"/>
  <c r="B36" i="38"/>
  <c r="D38" i="40"/>
  <c r="B37" i="40"/>
  <c r="J37" i="40"/>
  <c r="C37" i="40"/>
  <c r="J36" i="39"/>
  <c r="C36" i="39"/>
  <c r="D37" i="39"/>
  <c r="B36" i="39"/>
  <c r="J36" i="37"/>
  <c r="C36" i="37"/>
  <c r="D37" i="37"/>
  <c r="B36" i="37"/>
  <c r="D38" i="36"/>
  <c r="B37" i="36"/>
  <c r="J37" i="36"/>
  <c r="C37" i="36"/>
  <c r="J36" i="35"/>
  <c r="D37" i="35"/>
  <c r="B36" i="35"/>
  <c r="C36" i="35"/>
  <c r="C37" i="45" l="1"/>
  <c r="D38" i="45"/>
  <c r="B37" i="45"/>
  <c r="J37" i="45"/>
  <c r="J37" i="43"/>
  <c r="C37" i="43"/>
  <c r="D38" i="43"/>
  <c r="B37" i="43"/>
  <c r="J36" i="42"/>
  <c r="C36" i="42"/>
  <c r="D37" i="42"/>
  <c r="B36" i="42"/>
  <c r="C38" i="44"/>
  <c r="D39" i="44"/>
  <c r="B38" i="44"/>
  <c r="J38" i="44"/>
  <c r="J37" i="39"/>
  <c r="D38" i="39"/>
  <c r="B37" i="39"/>
  <c r="C37" i="39"/>
  <c r="J37" i="38"/>
  <c r="C37" i="38"/>
  <c r="D38" i="38"/>
  <c r="B37" i="38"/>
  <c r="C37" i="41"/>
  <c r="D38" i="41"/>
  <c r="B37" i="41"/>
  <c r="J37" i="41"/>
  <c r="C38" i="40"/>
  <c r="D39" i="40"/>
  <c r="B38" i="40"/>
  <c r="J38" i="40"/>
  <c r="C38" i="36"/>
  <c r="D39" i="36"/>
  <c r="B38" i="36"/>
  <c r="J38" i="36"/>
  <c r="C37" i="37"/>
  <c r="D38" i="37"/>
  <c r="B37" i="37"/>
  <c r="J37" i="37"/>
  <c r="C37" i="35"/>
  <c r="D38" i="35"/>
  <c r="B37" i="35"/>
  <c r="J37" i="35"/>
  <c r="J39" i="44" l="1"/>
  <c r="J7" i="44" s="1"/>
  <c r="C39" i="44"/>
  <c r="B39" i="44"/>
  <c r="J37" i="42"/>
  <c r="C37" i="42"/>
  <c r="D38" i="42"/>
  <c r="B37" i="42"/>
  <c r="C38" i="45"/>
  <c r="D39" i="45"/>
  <c r="B38" i="45"/>
  <c r="J38" i="45"/>
  <c r="C38" i="43"/>
  <c r="D39" i="43"/>
  <c r="B38" i="43"/>
  <c r="J38" i="43"/>
  <c r="D39" i="38"/>
  <c r="B38" i="38"/>
  <c r="J38" i="38"/>
  <c r="C38" i="38"/>
  <c r="J39" i="40"/>
  <c r="J7" i="40" s="1"/>
  <c r="C39" i="40"/>
  <c r="B39" i="40"/>
  <c r="C38" i="41"/>
  <c r="D39" i="41"/>
  <c r="B38" i="41"/>
  <c r="J38" i="41"/>
  <c r="C38" i="39"/>
  <c r="D39" i="39"/>
  <c r="B38" i="39"/>
  <c r="J38" i="39"/>
  <c r="C38" i="37"/>
  <c r="D39" i="37"/>
  <c r="B38" i="37"/>
  <c r="J38" i="37"/>
  <c r="J39" i="36"/>
  <c r="J7" i="36" s="1"/>
  <c r="C39" i="36"/>
  <c r="B39" i="36"/>
  <c r="C38" i="35"/>
  <c r="D39" i="35"/>
  <c r="B38" i="35"/>
  <c r="J38" i="35"/>
  <c r="D39" i="42" l="1"/>
  <c r="B38" i="42"/>
  <c r="J38" i="42"/>
  <c r="C38" i="42"/>
  <c r="C39" i="43"/>
  <c r="B39" i="43"/>
  <c r="J39" i="43"/>
  <c r="J7" i="43" s="1"/>
  <c r="J39" i="45"/>
  <c r="J7" i="45" s="1"/>
  <c r="C39" i="45"/>
  <c r="B39" i="45"/>
  <c r="C39" i="39"/>
  <c r="B39" i="39"/>
  <c r="J39" i="39"/>
  <c r="J7" i="39" s="1"/>
  <c r="J39" i="41"/>
  <c r="J7" i="41" s="1"/>
  <c r="C39" i="41"/>
  <c r="B39" i="41"/>
  <c r="C39" i="38"/>
  <c r="B39" i="38"/>
  <c r="J39" i="38"/>
  <c r="J7" i="38" s="1"/>
  <c r="J39" i="37"/>
  <c r="J7" i="37" s="1"/>
  <c r="C39" i="37"/>
  <c r="B39" i="37"/>
  <c r="J39" i="35"/>
  <c r="J7" i="35" s="1"/>
  <c r="C39" i="35"/>
  <c r="B39" i="35"/>
  <c r="D4" i="34"/>
  <c r="C39" i="42" l="1"/>
  <c r="B39" i="42"/>
  <c r="J39" i="42"/>
  <c r="J7" i="42" s="1"/>
  <c r="M9" i="34"/>
  <c r="N9" i="34" l="1"/>
  <c r="O9" i="34"/>
  <c r="J6" i="34" s="1"/>
  <c r="J8" i="34" l="1"/>
  <c r="J7" i="34"/>
  <c r="J9" i="34"/>
  <c r="J10" i="34" s="1"/>
  <c r="J12" i="34" l="1"/>
</calcChain>
</file>

<file path=xl/sharedStrings.xml><?xml version="1.0" encoding="utf-8"?>
<sst xmlns="http://schemas.openxmlformats.org/spreadsheetml/2006/main" count="251" uniqueCount="62">
  <si>
    <t>Příchod</t>
  </si>
  <si>
    <t>Odchod</t>
  </si>
  <si>
    <t>Přesčas</t>
  </si>
  <si>
    <t>Odpracováno</t>
  </si>
  <si>
    <t>Hodin</t>
  </si>
  <si>
    <t>Celkově</t>
  </si>
  <si>
    <t>Oběd</t>
  </si>
  <si>
    <t>Dovolená</t>
  </si>
  <si>
    <t>Svátek</t>
  </si>
  <si>
    <t>Dnů</t>
  </si>
  <si>
    <t>Částka</t>
  </si>
  <si>
    <t>Vyměřovací základ</t>
  </si>
  <si>
    <t>Příspěvek na důchod</t>
  </si>
  <si>
    <t>Sociální pojištění</t>
  </si>
  <si>
    <t>Základní mzda</t>
  </si>
  <si>
    <t>Zdravotní pojištění</t>
  </si>
  <si>
    <t>SHM</t>
  </si>
  <si>
    <t>Daň</t>
  </si>
  <si>
    <t>Přesčas základ</t>
  </si>
  <si>
    <t>Obědy</t>
  </si>
  <si>
    <t>Příplatek za přesčas 25%</t>
  </si>
  <si>
    <t>PP/hod</t>
  </si>
  <si>
    <t>Základ</t>
  </si>
  <si>
    <t>Cena obědů</t>
  </si>
  <si>
    <t>Sociální</t>
  </si>
  <si>
    <t>Zdravotní</t>
  </si>
  <si>
    <t>Daň z příjmu</t>
  </si>
  <si>
    <t>Sleva na dani</t>
  </si>
  <si>
    <t>Super hrubá mzda</t>
  </si>
  <si>
    <t>Příplatek za přesčas</t>
  </si>
  <si>
    <t>Dat</t>
  </si>
  <si>
    <t xml:space="preserve">Svátek </t>
  </si>
  <si>
    <t>Obědů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</si>
  <si>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</si>
  <si>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</si>
  <si>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</si>
  <si>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</si>
  <si>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</si>
  <si>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</si>
  <si>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</si>
  <si>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</si>
  <si>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</si>
  <si>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</si>
  <si>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</si>
  <si>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</si>
  <si>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Nový rok / Den obnovy samostatného českého státu</t>
  </si>
  <si>
    <t>Velikonoční pondělí</t>
  </si>
  <si>
    <t>Velký pátek</t>
  </si>
  <si>
    <t>Svátek práce</t>
  </si>
  <si>
    <t>Den vítězství</t>
  </si>
  <si>
    <t>Den slovanských věrozvěstů Cyrila a Metoděje</t>
  </si>
  <si>
    <t>Den upálení mistra Jana Husa</t>
  </si>
  <si>
    <t>Den české státnosti</t>
  </si>
  <si>
    <t>Den vzniku samostatného československého státu</t>
  </si>
  <si>
    <t>Den boje za svobodu a demokracii</t>
  </si>
  <si>
    <t>Štědrý den</t>
  </si>
  <si>
    <t>1. svátek vánoční</t>
  </si>
  <si>
    <t>2. svátek vánoční</t>
  </si>
  <si>
    <t>PD</t>
  </si>
  <si>
    <t>DT</t>
  </si>
  <si>
    <t>Prac. dob.</t>
  </si>
  <si>
    <t>Obed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</si>
</sst>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\ &quot;Kč&quot;"/>
    <numFmt numFmtId="165" formatCode="0.0"/>
    <numFmt numFmtId="167" formatCode="[h]:mm"/>
    <numFmt numFmtId="168" formatCode="h:mm;@"/>
    <numFmt numFmtId="169" formatCode="d/m;@"/>
    <numFmt numFmtId="171" formatCode="&quot;/ &quot;General"/>
    <numFmt numFmtId="174" formatCode="ddd"/>
    <numFmt numFmtId="175" formatCode="[h]:mm;&quot;-&quot;[h]:mm;[h]:mm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2" tint="-9.9978637043366805E-2"/>
      </left>
      <right/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 style="medium">
        <color theme="2" tint="-9.9978637043366805E-2"/>
      </top>
      <bottom style="medium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medium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medium">
        <color theme="2" tint="-9.9978637043366805E-2"/>
      </bottom>
      <diagonal/>
    </border>
    <border>
      <left/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0" xfId="0" applyFont="1" applyBorder="1" applyAlignment="1"/>
    <xf numFmtId="0" fontId="5" fillId="0" borderId="6" xfId="0" applyFont="1" applyBorder="1" applyAlignment="1"/>
    <xf numFmtId="164" fontId="6" fillId="0" borderId="8" xfId="0" applyNumberFormat="1" applyFont="1" applyBorder="1" applyAlignment="1"/>
    <xf numFmtId="0" fontId="5" fillId="0" borderId="9" xfId="0" applyFont="1" applyBorder="1" applyAlignment="1"/>
    <xf numFmtId="164" fontId="6" fillId="0" borderId="10" xfId="0" applyNumberFormat="1" applyFont="1" applyBorder="1" applyAlignment="1"/>
    <xf numFmtId="0" fontId="5" fillId="0" borderId="11" xfId="0" applyFont="1" applyBorder="1" applyAlignment="1"/>
    <xf numFmtId="164" fontId="6" fillId="0" borderId="5" xfId="0" applyNumberFormat="1" applyFont="1" applyBorder="1" applyAlignment="1"/>
    <xf numFmtId="0" fontId="0" fillId="0" borderId="12" xfId="0" applyFont="1" applyBorder="1" applyAlignment="1"/>
    <xf numFmtId="0" fontId="0" fillId="0" borderId="11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Font="1" applyAlignment="1"/>
    <xf numFmtId="1" fontId="6" fillId="0" borderId="7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7" fontId="8" fillId="2" borderId="13" xfId="0" applyNumberFormat="1" applyFont="1" applyFill="1" applyBorder="1" applyAlignment="1">
      <alignment horizontal="center" vertical="center"/>
    </xf>
    <xf numFmtId="167" fontId="8" fillId="2" borderId="15" xfId="0" applyNumberFormat="1" applyFont="1" applyFill="1" applyBorder="1" applyAlignment="1">
      <alignment horizontal="center" vertical="center"/>
    </xf>
    <xf numFmtId="0" fontId="8" fillId="2" borderId="15" xfId="0" applyNumberFormat="1" applyFont="1" applyFill="1" applyBorder="1" applyAlignment="1">
      <alignment horizontal="center" vertical="center"/>
    </xf>
    <xf numFmtId="168" fontId="0" fillId="0" borderId="0" xfId="0" applyNumberFormat="1"/>
    <xf numFmtId="169" fontId="0" fillId="0" borderId="0" xfId="0" applyNumberFormat="1"/>
    <xf numFmtId="169" fontId="2" fillId="0" borderId="14" xfId="0" applyNumberFormat="1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167" fontId="0" fillId="0" borderId="0" xfId="0" applyNumberFormat="1"/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/>
    <xf numFmtId="0" fontId="0" fillId="2" borderId="1" xfId="0" applyFill="1" applyBorder="1" applyAlignment="1"/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167" fontId="8" fillId="2" borderId="19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6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7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1" fontId="4" fillId="0" borderId="7" xfId="0" applyNumberFormat="1" applyFont="1" applyBorder="1" applyAlignment="1">
      <alignment horizontal="left" vertical="center"/>
    </xf>
    <xf numFmtId="171" fontId="0" fillId="0" borderId="12" xfId="0" applyNumberFormat="1" applyBorder="1" applyAlignment="1">
      <alignment horizontal="left" vertical="center"/>
    </xf>
    <xf numFmtId="0" fontId="0" fillId="0" borderId="0" xfId="0" applyNumberFormat="1"/>
    <xf numFmtId="14" fontId="0" fillId="0" borderId="0" xfId="0" applyNumberFormat="1"/>
    <xf numFmtId="1" fontId="0" fillId="0" borderId="0" xfId="0" applyNumberFormat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1" fillId="0" borderId="0" xfId="0" applyNumberFormat="1" applyFont="1"/>
    <xf numFmtId="175" fontId="0" fillId="0" borderId="0" xfId="0" applyNumberFormat="1"/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20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67" fontId="10" fillId="0" borderId="0" xfId="0" applyNumberFormat="1" applyFont="1" applyFill="1" applyAlignment="1">
      <alignment horizontal="right"/>
    </xf>
    <xf numFmtId="20" fontId="10" fillId="0" borderId="0" xfId="0" applyNumberFormat="1" applyFont="1" applyFill="1" applyAlignment="1">
      <alignment horizontal="right"/>
    </xf>
    <xf numFmtId="167" fontId="11" fillId="2" borderId="21" xfId="0" applyNumberFormat="1" applyFont="1" applyFill="1" applyBorder="1" applyAlignment="1">
      <alignment horizontal="right" vertical="center"/>
    </xf>
    <xf numFmtId="167" fontId="8" fillId="2" borderId="19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  <xf numFmtId="1" fontId="4" fillId="3" borderId="7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</cellXfs>
  <cellStyles count="1">
    <cellStyle name="Normálna" xfId="0" builtinId="0"/>
  </cellStyles>
  <dxfs count="60"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FDEFE7"/>
        </patternFill>
      </fill>
    </dxf>
  </dxfs>
  <tableStyles count="0" defaultTableStyle="TableStyleMedium2" defaultPivotStyle="PivotStyleLight16"/>
  <colors>
    <mruColors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62500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72100" y="190500"/>
          <a:ext cx="2838450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10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11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12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2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3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4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5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6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7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8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5</xdr:row>
      <xdr:rowOff>0</xdr:rowOff>
    </xdr:to>
    <xdr:sp macro="" textlink="">
      <xdr:nvSpPr>
        <xdr:cNvPr id="2" name="Název" descr="Simple Budget" title="Template Title">
          <a:extLst>
            <a:ext uri="{FF2B5EF4-FFF2-40B4-BE49-F238E27FC236}">
              <a16:creationId xmlns:a16="http://schemas.microsoft.com/office/drawing/2014/main" id="{86DDFDC7-E8DA-478C-B5C2-307BAA6E18B0}"/>
            </a:ext>
          </a:extLst>
        </xdr:cNvPr>
        <xdr:cNvSpPr txBox="1"/>
      </xdr:nvSpPr>
      <xdr:spPr>
        <a:xfrm>
          <a:off x="609600" y="190500"/>
          <a:ext cx="4752975" cy="762000"/>
        </a:xfrm>
        <a:prstGeom prst="rect">
          <a:avLst/>
        </a:prstGeom>
        <a:gradFill flip="none" rotWithShape="1">
          <a:gsLst>
            <a:gs pos="5000">
              <a:schemeClr val="accent3">
                <a:lumMod val="50000"/>
              </a:schemeClr>
            </a:gs>
            <a:gs pos="50000">
              <a:schemeClr val="accent3">
                <a:lumMod val="75000"/>
              </a:schemeClr>
            </a:gs>
            <a:gs pos="97000">
              <a:schemeClr val="accent3">
                <a:lumMod val="50000"/>
              </a:schemeClr>
            </a:gs>
          </a:gsLst>
          <a:lin ang="0" scaled="1"/>
          <a:tileRect/>
        </a:gradFill>
        <a:ln w="3175">
          <a:solidFill>
            <a:schemeClr val="tx1"/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ctr"/>
          <a:r>
            <a:rPr lang="cs-CZ" sz="3200" b="1">
              <a:solidFill>
                <a:schemeClr val="bg1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  <a:reflection stA="29000" endPos="24000" dir="5400000" sy="-100000" algn="bl" rotWithShape="0"/>
              </a:effectLst>
              <a:latin typeface="Arial" panose="020B0604020202020204" pitchFamily="34" charset="0"/>
              <a:cs typeface="Arial" panose="020B0604020202020204" pitchFamily="34" charset="0"/>
            </a:rPr>
            <a:t>Docházka</a:t>
          </a:r>
          <a:endParaRPr lang="en-US" sz="3200" b="1">
            <a:solidFill>
              <a:schemeClr val="bg1"/>
            </a:solidFill>
            <a:effectLst>
              <a:outerShdw blurRad="50800" dist="38100" dir="10800000" algn="r" rotWithShape="0">
                <a:prstClr val="black">
                  <a:alpha val="40000"/>
                </a:prstClr>
              </a:outerShdw>
              <a:reflection stA="29000" endPos="24000" dir="5400000" sy="-100000" algn="bl" rotWithShape="0"/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5</xdr:row>
      <xdr:rowOff>0</xdr:rowOff>
    </xdr:to>
    <xdr:sp macro="" textlink="J4">
      <xdr:nvSpPr>
        <xdr:cNvPr id="3" name="Obdélník 2">
          <a:extLst>
            <a:ext uri="{FF2B5EF4-FFF2-40B4-BE49-F238E27FC236}">
              <a16:creationId xmlns:a16="http://schemas.microsoft.com/office/drawing/2014/main" id="{7D4E086A-4E8E-4BF4-8C1D-5E8D33C53E98}"/>
            </a:ext>
          </a:extLst>
        </xdr:cNvPr>
        <xdr:cNvSpPr/>
      </xdr:nvSpPr>
      <xdr:spPr>
        <a:xfrm>
          <a:off x="5362575" y="190500"/>
          <a:ext cx="2867025" cy="762000"/>
        </a:xfrm>
        <a:prstGeom prst="rect">
          <a:avLst/>
        </a:prstGeom>
        <a:solidFill>
          <a:srgbClr val="C00000"/>
        </a:solidFill>
        <a:ln w="3175">
          <a:solidFill>
            <a:schemeClr val="tx1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C4CF647C-18F9-4D76-A7DA-E262CA8840FC}" type="TxLink">
            <a:rPr lang="en-US" sz="2000" b="1" i="0" u="none" strike="noStrike">
              <a:solidFill>
                <a:schemeClr val="bg1"/>
              </a:solidFill>
              <a:effectLst>
                <a:outerShdw blurRad="50800" dist="38100" algn="l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9
2017</a:t>
          </a:fld>
          <a:endParaRPr lang="cs-CZ" sz="2000" b="1">
            <a:solidFill>
              <a:schemeClr val="bg1"/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E63"/>
  <sheetViews>
    <sheetView showGridLines="0" zoomScale="115" zoomScaleNormal="115" workbookViewId="0">
      <selection activeCell="E12" sqref="E12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1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1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0.95833333333333337</v>
      </c>
      <c r="F7" s="71"/>
      <c r="G7" s="107" t="str">
        <f>IF(SUMIF(G9:G39,"&lt;&gt;-",H9:H39)-SUMIF(G9:G39,"-",H9:H39)&lt;0,"-","")</f>
        <v>-</v>
      </c>
      <c r="H7" s="108">
        <f>ABS(SUMIF(G9:G39,"&lt;&gt;-",H9:H39)-SUMIF(G9:G39,"-",H9:H39))</f>
        <v>4.1666666666666574E-2</v>
      </c>
      <c r="I7" s="45">
        <f>SUM(I9:I39)</f>
        <v>0</v>
      </c>
      <c r="J7" s="46">
        <f>SUM(J9:J39)</f>
        <v>0.35416666666666669</v>
      </c>
      <c r="K7" s="45">
        <f>SUM(K9:K39)</f>
        <v>0.95833333333333337</v>
      </c>
      <c r="L7" s="47">
        <f>SUM(L9:L39)</f>
        <v>2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 t="str">
        <f>IF(D9=WORKDAY(D9-1,1,'Výpočet mzdy'!$A$25:$A$37),COUNT($B$8:$B8)+1,"")</f>
        <v/>
      </c>
      <c r="C9" s="90" t="str">
        <f>PROPER(TEXT(D9,"ddd"))</f>
        <v>Ne</v>
      </c>
      <c r="D9" s="91">
        <f>DATE(J3,J2,1)</f>
        <v>42736</v>
      </c>
      <c r="E9" s="92">
        <v>0.28125</v>
      </c>
      <c r="F9" s="92">
        <v>0.65625</v>
      </c>
      <c r="G9" s="105" t="str">
        <f>IF(H9="","",IF(K9-'Výpočet mzdy'!$B$10&lt;0,"-",""))</f>
        <v/>
      </c>
      <c r="H9" s="109">
        <f>IF(AND(K9&lt;&gt;"",K9&lt;&gt;0,K9&lt;&gt;'Výpočet mzdy'!$B$10),ABS(K9-'Výpočet mzdy'!$B$10),"")</f>
        <v>2.083333333333337E-2</v>
      </c>
      <c r="I9" s="93"/>
      <c r="J9" s="93">
        <f>IF(ISERROR(MATCH(D9,'Výpočet mzdy'!$A$25:$A$37,0)),"",K9)</f>
        <v>0.35416666666666669</v>
      </c>
      <c r="K9" s="93">
        <f>IF(OR(ISBLANK(E9),ISBLANK(F9)),"",F9-E9-'Výpočet mzdy'!$D$10)</f>
        <v>0.35416666666666669</v>
      </c>
      <c r="L9" s="89">
        <v>1</v>
      </c>
      <c r="N9" s="52"/>
      <c r="O9" s="85"/>
    </row>
    <row r="10" spans="1:21" x14ac:dyDescent="0.25">
      <c r="B10" s="89">
        <f>IF(D10=WORKDAY(D10-1,1,'Výpočet mzdy'!$A$25:$A$37),COUNT($B$8:$B9)+1,"")</f>
        <v>1</v>
      </c>
      <c r="C10" s="90" t="str">
        <f t="shared" ref="C10:C36" si="0">PROPER(TEXT(D10,"ddd"))</f>
        <v>Po</v>
      </c>
      <c r="D10" s="91">
        <f>D9+1</f>
        <v>42737</v>
      </c>
      <c r="E10" s="92">
        <v>0.29166666666666669</v>
      </c>
      <c r="F10" s="92">
        <v>0.64583333333333337</v>
      </c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>
        <f>IF(OR(ISBLANK(E10),ISBLANK(F10)),"",F10-E10-'Výpočet mzdy'!$D$10)</f>
        <v>0.33333333333333337</v>
      </c>
      <c r="L10" s="89">
        <v>1</v>
      </c>
      <c r="O10" s="85"/>
      <c r="U10" s="52"/>
    </row>
    <row r="11" spans="1:21" x14ac:dyDescent="0.25">
      <c r="B11" s="89">
        <f>IF(D11=WORKDAY(D11-1,1,'Výpočet mzdy'!$A$25:$A$37),COUNT($B$8:$B10)+1,"")</f>
        <v>2</v>
      </c>
      <c r="C11" s="90" t="str">
        <f t="shared" si="0"/>
        <v>Ut</v>
      </c>
      <c r="D11" s="91">
        <f t="shared" ref="D11:D36" si="1">D10+1</f>
        <v>42738</v>
      </c>
      <c r="E11" s="92">
        <v>0.29166666666666669</v>
      </c>
      <c r="F11" s="92">
        <v>0.58333333333333337</v>
      </c>
      <c r="G11" s="105" t="str">
        <f>IF(H11="","",IF(K11-'Výpočet mzdy'!$B$10&lt;0,"-",""))</f>
        <v>-</v>
      </c>
      <c r="H11" s="109">
        <f>IF(AND(K11&lt;&gt;"",K11&lt;&gt;0,K11&lt;&gt;'Výpočet mzdy'!$B$10),ABS(K11-'Výpočet mzdy'!$B$10),"")</f>
        <v>6.2499999999999944E-2</v>
      </c>
      <c r="I11" s="93"/>
      <c r="J11" s="93" t="str">
        <f>IF(ISERROR(MATCH(D11,'Výpočet mzdy'!$A$25:$A$37,0)),"",K11)</f>
        <v/>
      </c>
      <c r="K11" s="93">
        <f>IF(OR(ISBLANK(E11),ISBLANK(F11)),"",F11-E11-'Výpočet mzdy'!$D$10)</f>
        <v>0.27083333333333337</v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3</v>
      </c>
      <c r="C12" s="90" t="str">
        <f t="shared" si="0"/>
        <v>St</v>
      </c>
      <c r="D12" s="91">
        <f t="shared" si="1"/>
        <v>42739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4</v>
      </c>
      <c r="C13" s="90" t="str">
        <f t="shared" si="0"/>
        <v>Št</v>
      </c>
      <c r="D13" s="91">
        <f t="shared" si="1"/>
        <v>42740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5</v>
      </c>
      <c r="C14" s="90" t="str">
        <f t="shared" si="0"/>
        <v>Pi</v>
      </c>
      <c r="D14" s="91">
        <f t="shared" si="1"/>
        <v>42741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 t="str">
        <f>IF(D15=WORKDAY(D15-1,1,'Výpočet mzdy'!$A$25:$A$37),COUNT($B$8:$B14)+1,"")</f>
        <v/>
      </c>
      <c r="C15" s="90" t="str">
        <f t="shared" si="0"/>
        <v>So</v>
      </c>
      <c r="D15" s="91">
        <f t="shared" si="1"/>
        <v>42742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 t="str">
        <f>IF(D16=WORKDAY(D16-1,1,'Výpočet mzdy'!$A$25:$A$37),COUNT($B$8:$B15)+1,"")</f>
        <v/>
      </c>
      <c r="C16" s="90" t="str">
        <f t="shared" si="0"/>
        <v>Ne</v>
      </c>
      <c r="D16" s="91">
        <f t="shared" si="1"/>
        <v>42743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6</v>
      </c>
      <c r="C17" s="90" t="str">
        <f t="shared" si="0"/>
        <v>Po</v>
      </c>
      <c r="D17" s="91">
        <f t="shared" si="1"/>
        <v>42744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7</v>
      </c>
      <c r="C18" s="90" t="str">
        <f t="shared" si="0"/>
        <v>Ut</v>
      </c>
      <c r="D18" s="91">
        <f t="shared" si="1"/>
        <v>42745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8</v>
      </c>
      <c r="C19" s="90" t="str">
        <f t="shared" si="0"/>
        <v>St</v>
      </c>
      <c r="D19" s="91">
        <f t="shared" si="1"/>
        <v>42746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9</v>
      </c>
      <c r="C20" s="90" t="str">
        <f t="shared" si="0"/>
        <v>Št</v>
      </c>
      <c r="D20" s="91">
        <f t="shared" si="1"/>
        <v>42747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10</v>
      </c>
      <c r="C21" s="90" t="str">
        <f t="shared" si="0"/>
        <v>Pi</v>
      </c>
      <c r="D21" s="91">
        <f t="shared" si="1"/>
        <v>42748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 t="str">
        <f>IF(D22=WORKDAY(D22-1,1,'Výpočet mzdy'!$A$25:$A$37),COUNT($B$8:$B21)+1,"")</f>
        <v/>
      </c>
      <c r="C22" s="90" t="str">
        <f t="shared" si="0"/>
        <v>So</v>
      </c>
      <c r="D22" s="91">
        <f t="shared" si="1"/>
        <v>42749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 t="str">
        <f>IF(D23=WORKDAY(D23-1,1,'Výpočet mzdy'!$A$25:$A$37),COUNT($B$8:$B22)+1,"")</f>
        <v/>
      </c>
      <c r="C23" s="90" t="str">
        <f t="shared" si="0"/>
        <v>Ne</v>
      </c>
      <c r="D23" s="91">
        <f t="shared" si="1"/>
        <v>42750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11</v>
      </c>
      <c r="C24" s="90" t="str">
        <f t="shared" si="0"/>
        <v>Po</v>
      </c>
      <c r="D24" s="91">
        <f t="shared" si="1"/>
        <v>42751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12</v>
      </c>
      <c r="C25" s="90" t="str">
        <f t="shared" si="0"/>
        <v>Ut</v>
      </c>
      <c r="D25" s="91">
        <f t="shared" si="1"/>
        <v>42752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13</v>
      </c>
      <c r="C26" s="90" t="str">
        <f t="shared" si="0"/>
        <v>St</v>
      </c>
      <c r="D26" s="91">
        <f t="shared" si="1"/>
        <v>42753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14</v>
      </c>
      <c r="C27" s="90" t="str">
        <f t="shared" si="0"/>
        <v>Št</v>
      </c>
      <c r="D27" s="91">
        <f t="shared" si="1"/>
        <v>42754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15</v>
      </c>
      <c r="C28" s="90" t="str">
        <f t="shared" si="0"/>
        <v>Pi</v>
      </c>
      <c r="D28" s="91">
        <f t="shared" si="1"/>
        <v>42755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 t="str">
        <f>IF(D29=WORKDAY(D29-1,1,'Výpočet mzdy'!$A$25:$A$37),COUNT($B$8:$B28)+1,"")</f>
        <v/>
      </c>
      <c r="C29" s="90" t="str">
        <f t="shared" si="0"/>
        <v>So</v>
      </c>
      <c r="D29" s="91">
        <f t="shared" si="1"/>
        <v>42756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12"/>
      <c r="Z29" s="3"/>
      <c r="AA29" s="3"/>
      <c r="AB29" s="3"/>
      <c r="AC29" s="3"/>
      <c r="AD29" s="3"/>
      <c r="AE29" s="3"/>
    </row>
    <row r="30" spans="2:31" x14ac:dyDescent="0.25">
      <c r="B30" s="89" t="str">
        <f>IF(D30=WORKDAY(D30-1,1,'Výpočet mzdy'!$A$25:$A$37),COUNT($B$8:$B29)+1,"")</f>
        <v/>
      </c>
      <c r="C30" s="90" t="str">
        <f t="shared" si="0"/>
        <v>Ne</v>
      </c>
      <c r="D30" s="91">
        <f t="shared" si="1"/>
        <v>42757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12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16</v>
      </c>
      <c r="C31" s="90" t="str">
        <f t="shared" si="0"/>
        <v>Po</v>
      </c>
      <c r="D31" s="91">
        <f t="shared" si="1"/>
        <v>42758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12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17</v>
      </c>
      <c r="C32" s="90" t="str">
        <f t="shared" si="0"/>
        <v>Ut</v>
      </c>
      <c r="D32" s="91">
        <f t="shared" si="1"/>
        <v>42759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12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18</v>
      </c>
      <c r="C33" s="90" t="str">
        <f t="shared" si="0"/>
        <v>St</v>
      </c>
      <c r="D33" s="91">
        <f t="shared" si="1"/>
        <v>42760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12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19</v>
      </c>
      <c r="C34" s="90" t="str">
        <f t="shared" si="0"/>
        <v>Št</v>
      </c>
      <c r="D34" s="91">
        <f t="shared" si="1"/>
        <v>42761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20</v>
      </c>
      <c r="C35" s="90" t="str">
        <f t="shared" si="0"/>
        <v>Pi</v>
      </c>
      <c r="D35" s="91">
        <f t="shared" si="1"/>
        <v>42762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 t="str">
        <f>IF(D36=WORKDAY(D36-1,1,'Výpočet mzdy'!$A$25:$A$37),COUNT($B$8:$B35)+1,"")</f>
        <v/>
      </c>
      <c r="C36" s="90" t="str">
        <f t="shared" si="0"/>
        <v>So</v>
      </c>
      <c r="D36" s="91">
        <f t="shared" si="1"/>
        <v>42763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 t="str">
        <f>IF(D37="","",IF(D37=WORKDAY(D37-1,1,'Výpočet mzdy'!$A$25:$A$37),COUNT($B$8:$B36)+1,""))</f>
        <v/>
      </c>
      <c r="C37" s="90" t="str">
        <f>IF(D37="","",PROPER(TEXT(D37,"ddd")))</f>
        <v>Ne</v>
      </c>
      <c r="D37" s="91">
        <f>IF(MONTH(D36+1)=MONTH(D36),D36+1,"")</f>
        <v>42764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3"/>
      <c r="AA37" s="60"/>
      <c r="AB37" s="12"/>
      <c r="AC37" s="12"/>
      <c r="AD37" s="12"/>
      <c r="AE37" s="3"/>
    </row>
    <row r="38" spans="2:31" ht="15" customHeight="1" x14ac:dyDescent="0.25">
      <c r="B38" s="89">
        <f>IF(D38="","",IF(D38=WORKDAY(D38-1,1,'Výpočet mzdy'!$A$25:$A$37),COUNT($B$8:$B37)+1,""))</f>
        <v>21</v>
      </c>
      <c r="C38" s="90" t="str">
        <f t="shared" ref="C38:C39" si="2">IF(D38="","",PROPER(TEXT(D38,"ddd")))</f>
        <v>Po</v>
      </c>
      <c r="D38" s="91">
        <f>IF(D37="","",IF(MONTH(D37+1)=MONTH(D37),D37+1,""))</f>
        <v>42765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3"/>
      <c r="AA38" s="61"/>
      <c r="AB38" s="54"/>
      <c r="AC38" s="54"/>
      <c r="AD38" s="54"/>
      <c r="AE38" s="3"/>
    </row>
    <row r="39" spans="2:31" x14ac:dyDescent="0.25">
      <c r="B39" s="89">
        <f>IF(D39="","",IF(D39=WORKDAY(D39-1,1,'Výpočet mzdy'!$A$25:$A$37),COUNT($B$8:$B38)+1,""))</f>
        <v>22</v>
      </c>
      <c r="C39" s="90" t="str">
        <f t="shared" si="2"/>
        <v>Ut</v>
      </c>
      <c r="D39" s="91">
        <f>IF(D38="","",IF(MONTH(D38+1)=MONTH(D38),D38+1,""))</f>
        <v>42766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12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12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12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12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12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12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12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12"/>
      <c r="AA46" s="12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G8:H8"/>
    <mergeCell ref="G6:H6"/>
    <mergeCell ref="AA37:AA38"/>
    <mergeCell ref="X45:X46"/>
    <mergeCell ref="Y45:Y46"/>
    <mergeCell ref="B6:D7"/>
    <mergeCell ref="E6:F6"/>
    <mergeCell ref="E7:F7"/>
    <mergeCell ref="X37:Y38"/>
  </mergeCells>
  <conditionalFormatting sqref="B9:L39">
    <cfRule type="expression" dxfId="58" priority="5">
      <formula>WEEKDAY($D9,2)&gt;5</formula>
    </cfRule>
  </conditionalFormatting>
  <conditionalFormatting sqref="H9:H39">
    <cfRule type="expression" dxfId="57" priority="3">
      <formula>(G9="-")</formula>
    </cfRule>
  </conditionalFormatting>
  <conditionalFormatting sqref="H7">
    <cfRule type="expression" dxfId="56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3445488-24C3-4BE3-B62E-192227B4EE4C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15A80E13-94D5-44F6-A8E1-065217C19BDC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10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10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 t="str">
        <f>IF(D9=WORKDAY(D9-1,1,'Výpočet mzdy'!$A$25:$A$37),COUNT($B$8:$B8)+1,"")</f>
        <v/>
      </c>
      <c r="C9" s="90" t="str">
        <f>PROPER(TEXT(D9,"ddd"))</f>
        <v>Ne</v>
      </c>
      <c r="D9" s="91">
        <f>DATE(J3,J2,1)</f>
        <v>43009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>
        <f>IF(D10=WORKDAY(D10-1,1,'Výpočet mzdy'!$A$25:$A$37),COUNT($B$8:$B9)+1,"")</f>
        <v>1</v>
      </c>
      <c r="C10" s="90" t="str">
        <f t="shared" ref="C10:C36" si="0">PROPER(TEXT(D10,"ddd"))</f>
        <v>Po</v>
      </c>
      <c r="D10" s="91">
        <f>D9+1</f>
        <v>43010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>
        <f>IF(D11=WORKDAY(D11-1,1,'Výpočet mzdy'!$A$25:$A$37),COUNT($B$8:$B10)+1,"")</f>
        <v>2</v>
      </c>
      <c r="C11" s="90" t="str">
        <f t="shared" si="0"/>
        <v>Ut</v>
      </c>
      <c r="D11" s="91">
        <f t="shared" ref="D11:D36" si="1">D10+1</f>
        <v>43011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3</v>
      </c>
      <c r="C12" s="90" t="str">
        <f t="shared" si="0"/>
        <v>St</v>
      </c>
      <c r="D12" s="91">
        <f t="shared" si="1"/>
        <v>43012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4</v>
      </c>
      <c r="C13" s="90" t="str">
        <f t="shared" si="0"/>
        <v>Št</v>
      </c>
      <c r="D13" s="91">
        <f t="shared" si="1"/>
        <v>43013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5</v>
      </c>
      <c r="C14" s="90" t="str">
        <f t="shared" si="0"/>
        <v>Pi</v>
      </c>
      <c r="D14" s="91">
        <f t="shared" si="1"/>
        <v>43014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 t="str">
        <f>IF(D15=WORKDAY(D15-1,1,'Výpočet mzdy'!$A$25:$A$37),COUNT($B$8:$B14)+1,"")</f>
        <v/>
      </c>
      <c r="C15" s="90" t="str">
        <f t="shared" si="0"/>
        <v>So</v>
      </c>
      <c r="D15" s="91">
        <f t="shared" si="1"/>
        <v>43015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 t="str">
        <f>IF(D16=WORKDAY(D16-1,1,'Výpočet mzdy'!$A$25:$A$37),COUNT($B$8:$B15)+1,"")</f>
        <v/>
      </c>
      <c r="C16" s="90" t="str">
        <f t="shared" si="0"/>
        <v>Ne</v>
      </c>
      <c r="D16" s="91">
        <f t="shared" si="1"/>
        <v>43016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6</v>
      </c>
      <c r="C17" s="90" t="str">
        <f t="shared" si="0"/>
        <v>Po</v>
      </c>
      <c r="D17" s="91">
        <f t="shared" si="1"/>
        <v>43017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7</v>
      </c>
      <c r="C18" s="90" t="str">
        <f t="shared" si="0"/>
        <v>Ut</v>
      </c>
      <c r="D18" s="91">
        <f t="shared" si="1"/>
        <v>43018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8</v>
      </c>
      <c r="C19" s="90" t="str">
        <f t="shared" si="0"/>
        <v>St</v>
      </c>
      <c r="D19" s="91">
        <f t="shared" si="1"/>
        <v>43019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9</v>
      </c>
      <c r="C20" s="90" t="str">
        <f t="shared" si="0"/>
        <v>Št</v>
      </c>
      <c r="D20" s="91">
        <f t="shared" si="1"/>
        <v>43020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10</v>
      </c>
      <c r="C21" s="90" t="str">
        <f t="shared" si="0"/>
        <v>Pi</v>
      </c>
      <c r="D21" s="91">
        <f t="shared" si="1"/>
        <v>43021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 t="str">
        <f>IF(D22=WORKDAY(D22-1,1,'Výpočet mzdy'!$A$25:$A$37),COUNT($B$8:$B21)+1,"")</f>
        <v/>
      </c>
      <c r="C22" s="90" t="str">
        <f t="shared" si="0"/>
        <v>So</v>
      </c>
      <c r="D22" s="91">
        <f t="shared" si="1"/>
        <v>43022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 t="str">
        <f>IF(D23=WORKDAY(D23-1,1,'Výpočet mzdy'!$A$25:$A$37),COUNT($B$8:$B22)+1,"")</f>
        <v/>
      </c>
      <c r="C23" s="90" t="str">
        <f t="shared" si="0"/>
        <v>Ne</v>
      </c>
      <c r="D23" s="91">
        <f t="shared" si="1"/>
        <v>43023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11</v>
      </c>
      <c r="C24" s="90" t="str">
        <f t="shared" si="0"/>
        <v>Po</v>
      </c>
      <c r="D24" s="91">
        <f t="shared" si="1"/>
        <v>43024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12</v>
      </c>
      <c r="C25" s="90" t="str">
        <f t="shared" si="0"/>
        <v>Ut</v>
      </c>
      <c r="D25" s="91">
        <f t="shared" si="1"/>
        <v>43025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13</v>
      </c>
      <c r="C26" s="90" t="str">
        <f t="shared" si="0"/>
        <v>St</v>
      </c>
      <c r="D26" s="91">
        <f t="shared" si="1"/>
        <v>43026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14</v>
      </c>
      <c r="C27" s="90" t="str">
        <f t="shared" si="0"/>
        <v>Št</v>
      </c>
      <c r="D27" s="91">
        <f t="shared" si="1"/>
        <v>43027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15</v>
      </c>
      <c r="C28" s="90" t="str">
        <f t="shared" si="0"/>
        <v>Pi</v>
      </c>
      <c r="D28" s="91">
        <f t="shared" si="1"/>
        <v>43028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 t="str">
        <f>IF(D29=WORKDAY(D29-1,1,'Výpočet mzdy'!$A$25:$A$37),COUNT($B$8:$B28)+1,"")</f>
        <v/>
      </c>
      <c r="C29" s="90" t="str">
        <f t="shared" si="0"/>
        <v>So</v>
      </c>
      <c r="D29" s="91">
        <f t="shared" si="1"/>
        <v>43029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 t="str">
        <f>IF(D30=WORKDAY(D30-1,1,'Výpočet mzdy'!$A$25:$A$37),COUNT($B$8:$B29)+1,"")</f>
        <v/>
      </c>
      <c r="C30" s="90" t="str">
        <f t="shared" si="0"/>
        <v>Ne</v>
      </c>
      <c r="D30" s="91">
        <f t="shared" si="1"/>
        <v>43030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16</v>
      </c>
      <c r="C31" s="90" t="str">
        <f t="shared" si="0"/>
        <v>Po</v>
      </c>
      <c r="D31" s="91">
        <f t="shared" si="1"/>
        <v>43031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17</v>
      </c>
      <c r="C32" s="90" t="str">
        <f t="shared" si="0"/>
        <v>Ut</v>
      </c>
      <c r="D32" s="91">
        <f t="shared" si="1"/>
        <v>43032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18</v>
      </c>
      <c r="C33" s="90" t="str">
        <f t="shared" si="0"/>
        <v>St</v>
      </c>
      <c r="D33" s="91">
        <f t="shared" si="1"/>
        <v>43033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19</v>
      </c>
      <c r="C34" s="90" t="str">
        <f t="shared" si="0"/>
        <v>Št</v>
      </c>
      <c r="D34" s="91">
        <f t="shared" si="1"/>
        <v>43034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20</v>
      </c>
      <c r="C35" s="90" t="str">
        <f t="shared" si="0"/>
        <v>Pi</v>
      </c>
      <c r="D35" s="91">
        <f t="shared" si="1"/>
        <v>43035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 t="str">
        <f>IF(D36=WORKDAY(D36-1,1,'Výpočet mzdy'!$A$25:$A$37),COUNT($B$8:$B35)+1,"")</f>
        <v/>
      </c>
      <c r="C36" s="90" t="str">
        <f t="shared" si="0"/>
        <v>So</v>
      </c>
      <c r="D36" s="91">
        <f t="shared" si="1"/>
        <v>43036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 t="str">
        <f>IF(D37="","",IF(D37=WORKDAY(D37-1,1,'Výpočet mzdy'!$A$25:$A$37),COUNT($B$8:$B36)+1,""))</f>
        <v/>
      </c>
      <c r="C37" s="90" t="str">
        <f>IF(D37="","",PROPER(TEXT(D37,"ddd")))</f>
        <v>Ne</v>
      </c>
      <c r="D37" s="91">
        <f>IF(MONTH(D36+1)=MONTH(D36),D36+1,"")</f>
        <v>43037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>
        <f>IF(D38="","",IF(D38=WORKDAY(D38-1,1,'Výpočet mzdy'!$A$25:$A$37),COUNT($B$8:$B37)+1,""))</f>
        <v>21</v>
      </c>
      <c r="C38" s="90" t="str">
        <f t="shared" ref="C38:C39" si="2">IF(D38="","",PROPER(TEXT(D38,"ddd")))</f>
        <v>Po</v>
      </c>
      <c r="D38" s="91">
        <f>IF(D37="","",IF(MONTH(D37+1)=MONTH(D37),D37+1,""))</f>
        <v>43038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>
        <f>IF(D39="","",IF(D39=WORKDAY(D39-1,1,'Výpočet mzdy'!$A$25:$A$37),COUNT($B$8:$B38)+1,""))</f>
        <v>22</v>
      </c>
      <c r="C39" s="90" t="str">
        <f t="shared" si="2"/>
        <v>Ut</v>
      </c>
      <c r="D39" s="91">
        <f>IF(D38="","",IF(MONTH(D38+1)=MONTH(D38),D38+1,""))</f>
        <v>43039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13" priority="5">
      <formula>WEEKDAY($D9,2)&gt;5</formula>
    </cfRule>
  </conditionalFormatting>
  <conditionalFormatting sqref="H9:H39">
    <cfRule type="expression" dxfId="12" priority="3">
      <formula>(G9="-")</formula>
    </cfRule>
  </conditionalFormatting>
  <conditionalFormatting sqref="H7">
    <cfRule type="expression" dxfId="11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1842A3F-F40D-4781-B52D-9E90440C1D09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1140512C-DE91-428D-8C12-7C43416F21CA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11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11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St</v>
      </c>
      <c r="D9" s="91">
        <f>DATE(J3,J2,1)</f>
        <v>43040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>
        <f>IF(D10=WORKDAY(D10-1,1,'Výpočet mzdy'!$A$25:$A$37),COUNT($B$8:$B9)+1,"")</f>
        <v>2</v>
      </c>
      <c r="C10" s="90" t="str">
        <f t="shared" ref="C10:C36" si="0">PROPER(TEXT(D10,"ddd"))</f>
        <v>Št</v>
      </c>
      <c r="D10" s="91">
        <f>D9+1</f>
        <v>43041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>
        <f>IF(D11=WORKDAY(D11-1,1,'Výpočet mzdy'!$A$25:$A$37),COUNT($B$8:$B10)+1,"")</f>
        <v>3</v>
      </c>
      <c r="C11" s="90" t="str">
        <f t="shared" si="0"/>
        <v>Pi</v>
      </c>
      <c r="D11" s="91">
        <f t="shared" ref="D11:D36" si="1">D10+1</f>
        <v>43042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 t="str">
        <f>IF(D12=WORKDAY(D12-1,1,'Výpočet mzdy'!$A$25:$A$37),COUNT($B$8:$B11)+1,"")</f>
        <v/>
      </c>
      <c r="C12" s="90" t="str">
        <f t="shared" si="0"/>
        <v>So</v>
      </c>
      <c r="D12" s="91">
        <f t="shared" si="1"/>
        <v>43043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 t="str">
        <f>IF(D13=WORKDAY(D13-1,1,'Výpočet mzdy'!$A$25:$A$37),COUNT($B$8:$B12)+1,"")</f>
        <v/>
      </c>
      <c r="C13" s="90" t="str">
        <f t="shared" si="0"/>
        <v>Ne</v>
      </c>
      <c r="D13" s="91">
        <f t="shared" si="1"/>
        <v>43044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Po</v>
      </c>
      <c r="D14" s="91">
        <f t="shared" si="1"/>
        <v>43045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Ut</v>
      </c>
      <c r="D15" s="91">
        <f t="shared" si="1"/>
        <v>43046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St</v>
      </c>
      <c r="D16" s="91">
        <f t="shared" si="1"/>
        <v>43047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7</v>
      </c>
      <c r="C17" s="90" t="str">
        <f t="shared" si="0"/>
        <v>Št</v>
      </c>
      <c r="D17" s="91">
        <f t="shared" si="1"/>
        <v>43048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8</v>
      </c>
      <c r="C18" s="90" t="str">
        <f t="shared" si="0"/>
        <v>Pi</v>
      </c>
      <c r="D18" s="91">
        <f t="shared" si="1"/>
        <v>43049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 t="str">
        <f>IF(D19=WORKDAY(D19-1,1,'Výpočet mzdy'!$A$25:$A$37),COUNT($B$8:$B18)+1,"")</f>
        <v/>
      </c>
      <c r="C19" s="90" t="str">
        <f t="shared" si="0"/>
        <v>So</v>
      </c>
      <c r="D19" s="91">
        <f t="shared" si="1"/>
        <v>43050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 t="str">
        <f>IF(D20=WORKDAY(D20-1,1,'Výpočet mzdy'!$A$25:$A$37),COUNT($B$8:$B19)+1,"")</f>
        <v/>
      </c>
      <c r="C20" s="90" t="str">
        <f t="shared" si="0"/>
        <v>Ne</v>
      </c>
      <c r="D20" s="91">
        <f t="shared" si="1"/>
        <v>43051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Po</v>
      </c>
      <c r="D21" s="91">
        <f t="shared" si="1"/>
        <v>43052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Ut</v>
      </c>
      <c r="D22" s="91">
        <f t="shared" si="1"/>
        <v>43053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St</v>
      </c>
      <c r="D23" s="91">
        <f t="shared" si="1"/>
        <v>43054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12</v>
      </c>
      <c r="C24" s="90" t="str">
        <f t="shared" si="0"/>
        <v>Št</v>
      </c>
      <c r="D24" s="91">
        <f t="shared" si="1"/>
        <v>43055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 t="str">
        <f>IF(D25=WORKDAY(D25-1,1,'Výpočet mzdy'!$A$25:$A$37),COUNT($B$8:$B24)+1,"")</f>
        <v/>
      </c>
      <c r="C25" s="90" t="str">
        <f t="shared" si="0"/>
        <v>Pi</v>
      </c>
      <c r="D25" s="91">
        <f t="shared" si="1"/>
        <v>43056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 t="str">
        <f>IF(D26=WORKDAY(D26-1,1,'Výpočet mzdy'!$A$25:$A$37),COUNT($B$8:$B25)+1,"")</f>
        <v/>
      </c>
      <c r="C26" s="90" t="str">
        <f t="shared" si="0"/>
        <v>So</v>
      </c>
      <c r="D26" s="91">
        <f t="shared" si="1"/>
        <v>43057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 t="str">
        <f>IF(D27=WORKDAY(D27-1,1,'Výpočet mzdy'!$A$25:$A$37),COUNT($B$8:$B26)+1,"")</f>
        <v/>
      </c>
      <c r="C27" s="90" t="str">
        <f t="shared" si="0"/>
        <v>Ne</v>
      </c>
      <c r="D27" s="91">
        <f t="shared" si="1"/>
        <v>43058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13</v>
      </c>
      <c r="C28" s="90" t="str">
        <f t="shared" si="0"/>
        <v>Po</v>
      </c>
      <c r="D28" s="91">
        <f t="shared" si="1"/>
        <v>43059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14</v>
      </c>
      <c r="C29" s="90" t="str">
        <f t="shared" si="0"/>
        <v>Ut</v>
      </c>
      <c r="D29" s="91">
        <f t="shared" si="1"/>
        <v>43060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15</v>
      </c>
      <c r="C30" s="90" t="str">
        <f t="shared" si="0"/>
        <v>St</v>
      </c>
      <c r="D30" s="91">
        <f t="shared" si="1"/>
        <v>43061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16</v>
      </c>
      <c r="C31" s="90" t="str">
        <f t="shared" si="0"/>
        <v>Št</v>
      </c>
      <c r="D31" s="91">
        <f t="shared" si="1"/>
        <v>43062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17</v>
      </c>
      <c r="C32" s="90" t="str">
        <f t="shared" si="0"/>
        <v>Pi</v>
      </c>
      <c r="D32" s="91">
        <f t="shared" si="1"/>
        <v>43063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 t="str">
        <f>IF(D33=WORKDAY(D33-1,1,'Výpočet mzdy'!$A$25:$A$37),COUNT($B$8:$B32)+1,"")</f>
        <v/>
      </c>
      <c r="C33" s="90" t="str">
        <f t="shared" si="0"/>
        <v>So</v>
      </c>
      <c r="D33" s="91">
        <f t="shared" si="1"/>
        <v>43064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 t="str">
        <f>IF(D34=WORKDAY(D34-1,1,'Výpočet mzdy'!$A$25:$A$37),COUNT($B$8:$B33)+1,"")</f>
        <v/>
      </c>
      <c r="C34" s="90" t="str">
        <f t="shared" si="0"/>
        <v>Ne</v>
      </c>
      <c r="D34" s="91">
        <f t="shared" si="1"/>
        <v>43065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18</v>
      </c>
      <c r="C35" s="90" t="str">
        <f t="shared" si="0"/>
        <v>Po</v>
      </c>
      <c r="D35" s="91">
        <f t="shared" si="1"/>
        <v>43066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19</v>
      </c>
      <c r="C36" s="90" t="str">
        <f t="shared" si="0"/>
        <v>Ut</v>
      </c>
      <c r="D36" s="91">
        <f t="shared" si="1"/>
        <v>43067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20</v>
      </c>
      <c r="C37" s="90" t="str">
        <f>IF(D37="","",PROPER(TEXT(D37,"ddd")))</f>
        <v>St</v>
      </c>
      <c r="D37" s="91">
        <f>IF(MONTH(D36+1)=MONTH(D36),D36+1,"")</f>
        <v>43068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>
        <f>IF(D38="","",IF(D38=WORKDAY(D38-1,1,'Výpočet mzdy'!$A$25:$A$37),COUNT($B$8:$B37)+1,""))</f>
        <v>21</v>
      </c>
      <c r="C38" s="90" t="str">
        <f t="shared" ref="C38:C39" si="2">IF(D38="","",PROPER(TEXT(D38,"ddd")))</f>
        <v>Št</v>
      </c>
      <c r="D38" s="91">
        <f>IF(D37="","",IF(MONTH(D37+1)=MONTH(D37),D37+1,""))</f>
        <v>43069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 t="str">
        <f>IF(D39="","",IF(D39=WORKDAY(D39-1,1,'Výpočet mzdy'!$A$25:$A$37),COUNT($B$8:$B38)+1,""))</f>
        <v/>
      </c>
      <c r="C39" s="90" t="str">
        <f t="shared" si="2"/>
        <v/>
      </c>
      <c r="D39" s="91" t="str">
        <f>IF(D38="","",IF(MONTH(D38+1)=MONTH(D38),D38+1,""))</f>
        <v/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8" priority="5">
      <formula>WEEKDAY($D9,2)&gt;5</formula>
    </cfRule>
  </conditionalFormatting>
  <conditionalFormatting sqref="H9:H39">
    <cfRule type="expression" dxfId="7" priority="3">
      <formula>(G9="-")</formula>
    </cfRule>
  </conditionalFormatting>
  <conditionalFormatting sqref="H7">
    <cfRule type="expression" dxfId="6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9584480-F783-4BA5-B1FD-56C80257EB77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F20BDFC5-63F6-4C55-806C-B299FF80FD67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12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12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Pi</v>
      </c>
      <c r="D9" s="91">
        <f>DATE(J3,J2,1)</f>
        <v>43070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 t="str">
        <f>IF(D10=WORKDAY(D10-1,1,'Výpočet mzdy'!$A$25:$A$37),COUNT($B$8:$B9)+1,"")</f>
        <v/>
      </c>
      <c r="C10" s="90" t="str">
        <f t="shared" ref="C10:C36" si="0">PROPER(TEXT(D10,"ddd"))</f>
        <v>So</v>
      </c>
      <c r="D10" s="91">
        <f>D9+1</f>
        <v>43071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 t="str">
        <f>IF(D11=WORKDAY(D11-1,1,'Výpočet mzdy'!$A$25:$A$37),COUNT($B$8:$B10)+1,"")</f>
        <v/>
      </c>
      <c r="C11" s="90" t="str">
        <f t="shared" si="0"/>
        <v>Ne</v>
      </c>
      <c r="D11" s="91">
        <f t="shared" ref="D11:D36" si="1">D10+1</f>
        <v>43072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2</v>
      </c>
      <c r="C12" s="90" t="str">
        <f t="shared" si="0"/>
        <v>Po</v>
      </c>
      <c r="D12" s="91">
        <f t="shared" si="1"/>
        <v>43073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3</v>
      </c>
      <c r="C13" s="90" t="str">
        <f t="shared" si="0"/>
        <v>Ut</v>
      </c>
      <c r="D13" s="91">
        <f t="shared" si="1"/>
        <v>43074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St</v>
      </c>
      <c r="D14" s="91">
        <f t="shared" si="1"/>
        <v>43075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Št</v>
      </c>
      <c r="D15" s="91">
        <f t="shared" si="1"/>
        <v>43076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Pi</v>
      </c>
      <c r="D16" s="91">
        <f t="shared" si="1"/>
        <v>43077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 t="str">
        <f>IF(D17=WORKDAY(D17-1,1,'Výpočet mzdy'!$A$25:$A$37),COUNT($B$8:$B16)+1,"")</f>
        <v/>
      </c>
      <c r="C17" s="90" t="str">
        <f t="shared" si="0"/>
        <v>So</v>
      </c>
      <c r="D17" s="91">
        <f t="shared" si="1"/>
        <v>43078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 t="str">
        <f>IF(D18=WORKDAY(D18-1,1,'Výpočet mzdy'!$A$25:$A$37),COUNT($B$8:$B17)+1,"")</f>
        <v/>
      </c>
      <c r="C18" s="90" t="str">
        <f t="shared" si="0"/>
        <v>Ne</v>
      </c>
      <c r="D18" s="91">
        <f t="shared" si="1"/>
        <v>43079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7</v>
      </c>
      <c r="C19" s="90" t="str">
        <f t="shared" si="0"/>
        <v>Po</v>
      </c>
      <c r="D19" s="91">
        <f t="shared" si="1"/>
        <v>43080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8</v>
      </c>
      <c r="C20" s="90" t="str">
        <f t="shared" si="0"/>
        <v>Ut</v>
      </c>
      <c r="D20" s="91">
        <f t="shared" si="1"/>
        <v>43081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St</v>
      </c>
      <c r="D21" s="91">
        <f t="shared" si="1"/>
        <v>43082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Št</v>
      </c>
      <c r="D22" s="91">
        <f t="shared" si="1"/>
        <v>43083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Pi</v>
      </c>
      <c r="D23" s="91">
        <f t="shared" si="1"/>
        <v>43084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 t="str">
        <f>IF(D24=WORKDAY(D24-1,1,'Výpočet mzdy'!$A$25:$A$37),COUNT($B$8:$B23)+1,"")</f>
        <v/>
      </c>
      <c r="C24" s="90" t="str">
        <f t="shared" si="0"/>
        <v>So</v>
      </c>
      <c r="D24" s="91">
        <f t="shared" si="1"/>
        <v>43085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 t="str">
        <f>IF(D25=WORKDAY(D25-1,1,'Výpočet mzdy'!$A$25:$A$37),COUNT($B$8:$B24)+1,"")</f>
        <v/>
      </c>
      <c r="C25" s="90" t="str">
        <f t="shared" si="0"/>
        <v>Ne</v>
      </c>
      <c r="D25" s="91">
        <f t="shared" si="1"/>
        <v>43086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12</v>
      </c>
      <c r="C26" s="90" t="str">
        <f t="shared" si="0"/>
        <v>Po</v>
      </c>
      <c r="D26" s="91">
        <f t="shared" si="1"/>
        <v>43087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13</v>
      </c>
      <c r="C27" s="90" t="str">
        <f t="shared" si="0"/>
        <v>Ut</v>
      </c>
      <c r="D27" s="91">
        <f t="shared" si="1"/>
        <v>43088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14</v>
      </c>
      <c r="C28" s="90" t="str">
        <f t="shared" si="0"/>
        <v>St</v>
      </c>
      <c r="D28" s="91">
        <f t="shared" si="1"/>
        <v>43089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15</v>
      </c>
      <c r="C29" s="90" t="str">
        <f t="shared" si="0"/>
        <v>Št</v>
      </c>
      <c r="D29" s="91">
        <f t="shared" si="1"/>
        <v>43090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16</v>
      </c>
      <c r="C30" s="90" t="str">
        <f t="shared" si="0"/>
        <v>Pi</v>
      </c>
      <c r="D30" s="91">
        <f t="shared" si="1"/>
        <v>43091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 t="str">
        <f>IF(D31=WORKDAY(D31-1,1,'Výpočet mzdy'!$A$25:$A$37),COUNT($B$8:$B30)+1,"")</f>
        <v/>
      </c>
      <c r="C31" s="90" t="str">
        <f t="shared" si="0"/>
        <v>So</v>
      </c>
      <c r="D31" s="91">
        <f t="shared" si="1"/>
        <v>43092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 t="str">
        <f>IF(D32=WORKDAY(D32-1,1,'Výpočet mzdy'!$A$25:$A$37),COUNT($B$8:$B31)+1,"")</f>
        <v/>
      </c>
      <c r="C32" s="90" t="str">
        <f t="shared" si="0"/>
        <v>Ne</v>
      </c>
      <c r="D32" s="91">
        <f t="shared" si="1"/>
        <v>43093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 t="str">
        <f>IF(D33=WORKDAY(D33-1,1,'Výpočet mzdy'!$A$25:$A$37),COUNT($B$8:$B32)+1,"")</f>
        <v/>
      </c>
      <c r="C33" s="90" t="str">
        <f t="shared" si="0"/>
        <v>Po</v>
      </c>
      <c r="D33" s="91">
        <f t="shared" si="1"/>
        <v>43094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 t="str">
        <f>IF(D34=WORKDAY(D34-1,1,'Výpočet mzdy'!$A$25:$A$37),COUNT($B$8:$B33)+1,"")</f>
        <v/>
      </c>
      <c r="C34" s="90" t="str">
        <f t="shared" si="0"/>
        <v>Ut</v>
      </c>
      <c r="D34" s="91">
        <f t="shared" si="1"/>
        <v>43095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17</v>
      </c>
      <c r="C35" s="90" t="str">
        <f t="shared" si="0"/>
        <v>St</v>
      </c>
      <c r="D35" s="91">
        <f t="shared" si="1"/>
        <v>43096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18</v>
      </c>
      <c r="C36" s="90" t="str">
        <f t="shared" si="0"/>
        <v>Št</v>
      </c>
      <c r="D36" s="91">
        <f t="shared" si="1"/>
        <v>43097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19</v>
      </c>
      <c r="C37" s="90" t="str">
        <f>IF(D37="","",PROPER(TEXT(D37,"ddd")))</f>
        <v>Pi</v>
      </c>
      <c r="D37" s="91">
        <f>IF(MONTH(D36+1)=MONTH(D36),D36+1,"")</f>
        <v>43098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 t="str">
        <f>IF(D38="","",IF(D38=WORKDAY(D38-1,1,'Výpočet mzdy'!$A$25:$A$37),COUNT($B$8:$B37)+1,""))</f>
        <v/>
      </c>
      <c r="C38" s="90" t="str">
        <f t="shared" ref="C38:C39" si="2">IF(D38="","",PROPER(TEXT(D38,"ddd")))</f>
        <v>So</v>
      </c>
      <c r="D38" s="91">
        <f>IF(D37="","",IF(MONTH(D37+1)=MONTH(D37),D37+1,""))</f>
        <v>43099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 t="str">
        <f>IF(D39="","",IF(D39=WORKDAY(D39-1,1,'Výpočet mzdy'!$A$25:$A$37),COUNT($B$8:$B38)+1,""))</f>
        <v/>
      </c>
      <c r="C39" s="90" t="str">
        <f t="shared" si="2"/>
        <v>Ne</v>
      </c>
      <c r="D39" s="91">
        <f>IF(D38="","",IF(MONTH(D38+1)=MONTH(D38),D38+1,""))</f>
        <v>43100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3" priority="5">
      <formula>WEEKDAY($D9,2)&gt;5</formula>
    </cfRule>
  </conditionalFormatting>
  <conditionalFormatting sqref="H9:H39">
    <cfRule type="expression" dxfId="2" priority="3">
      <formula>(G9="-")</formula>
    </cfRule>
  </conditionalFormatting>
  <conditionalFormatting sqref="H7">
    <cfRule type="expression" dxfId="1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5B3B1C1-492E-4D3A-B379-803349AA8A56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A3FC997E-BEC5-4294-B795-67376645A634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O37"/>
  <sheetViews>
    <sheetView tabSelected="1" workbookViewId="0">
      <selection activeCell="K4" sqref="K4:K5"/>
    </sheetView>
  </sheetViews>
  <sheetFormatPr defaultRowHeight="15" x14ac:dyDescent="0.25"/>
  <cols>
    <col min="1" max="1" width="15.42578125" customWidth="1"/>
    <col min="3" max="3" width="2.28515625" customWidth="1"/>
    <col min="5" max="7" width="9.140625" customWidth="1"/>
    <col min="9" max="9" width="19.5703125" customWidth="1"/>
    <col min="10" max="10" width="14.5703125" customWidth="1"/>
    <col min="11" max="11" width="5.28515625" customWidth="1"/>
    <col min="12" max="12" width="23.5703125" customWidth="1"/>
  </cols>
  <sheetData>
    <row r="1" spans="1:15" x14ac:dyDescent="0.25">
      <c r="A1" t="s">
        <v>33</v>
      </c>
      <c r="B1" t="s">
        <v>4</v>
      </c>
      <c r="D1" s="52">
        <f ca="1">INDIRECT("'"&amp;INDEX($A$1:$A$12,$K$4)&amp;" "&amp;$L$4&amp;"'!E7")</f>
        <v>0.95833333333333337</v>
      </c>
      <c r="E1" s="52"/>
    </row>
    <row r="2" spans="1:15" x14ac:dyDescent="0.25">
      <c r="A2" t="s">
        <v>34</v>
      </c>
      <c r="B2" t="s">
        <v>2</v>
      </c>
      <c r="C2" t="str">
        <f ca="1">INDIRECT("'"&amp;INDEX($A$1:$A$12,$K$4)&amp;" "&amp;$L$4&amp;"'!G7")</f>
        <v>-</v>
      </c>
      <c r="D2" s="52">
        <f ca="1">INDIRECT("'"&amp;INDEX($A$1:$A$12,$K$4)&amp;" "&amp;$L$4&amp;"'!H7")</f>
        <v>4.1666666666666574E-2</v>
      </c>
      <c r="E2" s="52"/>
    </row>
    <row r="3" spans="1:15" ht="15.75" thickBot="1" x14ac:dyDescent="0.3">
      <c r="A3" t="s">
        <v>35</v>
      </c>
      <c r="B3" t="s">
        <v>7</v>
      </c>
      <c r="D3" s="52">
        <f ca="1">INDIRECT("'"&amp;INDEX($A$1:$A$12,$K$4)&amp;" "&amp;$L$4&amp;"'!I7")</f>
        <v>0</v>
      </c>
      <c r="E3" s="52"/>
    </row>
    <row r="4" spans="1:15" ht="13.5" customHeight="1" thickBot="1" x14ac:dyDescent="0.3">
      <c r="A4" t="s">
        <v>36</v>
      </c>
      <c r="B4" t="s">
        <v>31</v>
      </c>
      <c r="D4" s="52">
        <f ca="1">INDIRECT("'"&amp;INDEX($A$1:$A$12,$K$4)&amp;" "&amp;$L$4&amp;"'!J7")</f>
        <v>0.35416666666666669</v>
      </c>
      <c r="E4" s="52"/>
      <c r="I4" s="74"/>
      <c r="J4" s="75"/>
      <c r="K4" s="111">
        <v>1</v>
      </c>
      <c r="L4" s="82">
        <v>2017</v>
      </c>
      <c r="M4" s="10"/>
      <c r="N4" s="10"/>
      <c r="O4" s="11"/>
    </row>
    <row r="5" spans="1:15" ht="14.25" customHeight="1" thickBot="1" x14ac:dyDescent="0.3">
      <c r="A5" t="s">
        <v>37</v>
      </c>
      <c r="B5" t="s">
        <v>5</v>
      </c>
      <c r="D5" s="52">
        <f ca="1">INDIRECT("'"&amp;INDEX($A$1:$A$12,$K$4)&amp;" "&amp;$L$4&amp;"'!K7")</f>
        <v>0.95833333333333337</v>
      </c>
      <c r="E5" s="52"/>
      <c r="I5" s="76"/>
      <c r="J5" s="77"/>
      <c r="K5" s="112"/>
      <c r="L5" s="83"/>
      <c r="M5" s="22" t="s">
        <v>4</v>
      </c>
      <c r="N5" s="23" t="s">
        <v>9</v>
      </c>
      <c r="O5" s="24" t="s">
        <v>10</v>
      </c>
    </row>
    <row r="6" spans="1:15" x14ac:dyDescent="0.25">
      <c r="A6" t="s">
        <v>38</v>
      </c>
      <c r="B6" t="s">
        <v>32</v>
      </c>
      <c r="D6" s="84">
        <f ca="1">INDIRECT("'"&amp;INDEX($A$1:$A$12,$K$4)&amp;" "&amp;$L$4&amp;"'!L7")</f>
        <v>2</v>
      </c>
      <c r="E6" s="84"/>
      <c r="I6" s="13" t="s">
        <v>11</v>
      </c>
      <c r="J6" s="14">
        <f ca="1">SUM(O7:O11)</f>
        <v>1157.5</v>
      </c>
      <c r="K6" s="12"/>
      <c r="L6" s="13" t="s">
        <v>12</v>
      </c>
      <c r="M6" s="35"/>
      <c r="N6" s="25"/>
      <c r="O6" s="26">
        <f>B23</f>
        <v>1</v>
      </c>
    </row>
    <row r="7" spans="1:15" x14ac:dyDescent="0.25">
      <c r="A7" t="s">
        <v>39</v>
      </c>
      <c r="I7" s="15" t="s">
        <v>13</v>
      </c>
      <c r="J7" s="16">
        <f ca="1">(ROUNDUP(J6*B17,0))</f>
        <v>76</v>
      </c>
      <c r="K7" s="12"/>
      <c r="L7" s="15" t="s">
        <v>14</v>
      </c>
      <c r="M7" s="27">
        <f ca="1">D1*24</f>
        <v>23</v>
      </c>
      <c r="N7" s="36">
        <f ca="1">M7/(B10*24)</f>
        <v>2.875</v>
      </c>
      <c r="O7" s="29">
        <f ca="1">M7*B15</f>
        <v>690</v>
      </c>
    </row>
    <row r="8" spans="1:15" x14ac:dyDescent="0.25">
      <c r="A8" t="s">
        <v>40</v>
      </c>
      <c r="I8" s="15" t="s">
        <v>15</v>
      </c>
      <c r="J8" s="16">
        <f ca="1">(ROUNDUP(J6*B18,0))</f>
        <v>53</v>
      </c>
      <c r="K8" s="12"/>
      <c r="L8" s="15" t="s">
        <v>7</v>
      </c>
      <c r="M8" s="27">
        <f ca="1">D3*24</f>
        <v>0</v>
      </c>
      <c r="N8" s="36">
        <f ca="1">M8/(B10*24)</f>
        <v>0</v>
      </c>
      <c r="O8" s="29">
        <f ca="1">M8*B14</f>
        <v>0</v>
      </c>
    </row>
    <row r="9" spans="1:15" x14ac:dyDescent="0.25">
      <c r="A9" t="s">
        <v>41</v>
      </c>
      <c r="B9" t="s">
        <v>60</v>
      </c>
      <c r="D9" t="s">
        <v>61</v>
      </c>
      <c r="I9" s="15" t="s">
        <v>16</v>
      </c>
      <c r="J9" s="16">
        <f ca="1">(ROUNDUP(J6*B21,-2))</f>
        <v>1600</v>
      </c>
      <c r="K9" s="12"/>
      <c r="L9" s="15" t="s">
        <v>8</v>
      </c>
      <c r="M9" s="27">
        <f ca="1">D4*24</f>
        <v>8.5</v>
      </c>
      <c r="N9" s="36">
        <f ca="1">M9/(B10*24)</f>
        <v>1.0625</v>
      </c>
      <c r="O9" s="29">
        <f ca="1">M9*B14</f>
        <v>467.5</v>
      </c>
    </row>
    <row r="10" spans="1:15" x14ac:dyDescent="0.25">
      <c r="A10" t="s">
        <v>42</v>
      </c>
      <c r="B10" s="5">
        <v>0.33333333333333331</v>
      </c>
      <c r="C10" s="5"/>
      <c r="D10" s="5">
        <v>2.0833333333333332E-2</v>
      </c>
      <c r="I10" s="15" t="s">
        <v>17</v>
      </c>
      <c r="J10" s="16">
        <f ca="1">(J9*B19)-B20</f>
        <v>-1830</v>
      </c>
      <c r="K10" s="12"/>
      <c r="L10" s="15" t="s">
        <v>18</v>
      </c>
      <c r="M10" s="27">
        <f ca="1">D2*24*IF(C2="-",-1,1)</f>
        <v>-0.99999999999999778</v>
      </c>
      <c r="N10" s="36">
        <f ca="1">IF(M10&gt;0,M10/(B10*24),0)</f>
        <v>0</v>
      </c>
      <c r="O10" s="29">
        <f ca="1">IF(M10&gt;0,M10*B15,0)</f>
        <v>0</v>
      </c>
    </row>
    <row r="11" spans="1:15" ht="15.75" thickBot="1" x14ac:dyDescent="0.3">
      <c r="A11" t="s">
        <v>43</v>
      </c>
      <c r="I11" s="17" t="s">
        <v>19</v>
      </c>
      <c r="J11" s="18">
        <f ca="1">O12</f>
        <v>2</v>
      </c>
      <c r="K11" s="12"/>
      <c r="L11" s="15" t="s">
        <v>20</v>
      </c>
      <c r="M11" s="27">
        <f ca="1">IF(M10&gt;0,M10,0)</f>
        <v>0</v>
      </c>
      <c r="N11" s="36">
        <f ca="1">IF(M11&gt;0,M11/(B10*24),0)</f>
        <v>0</v>
      </c>
      <c r="O11" s="29">
        <f ca="1">((M11*B14)/100)*B22</f>
        <v>0</v>
      </c>
    </row>
    <row r="12" spans="1:15" x14ac:dyDescent="0.25">
      <c r="A12" t="s">
        <v>44</v>
      </c>
      <c r="I12" s="78"/>
      <c r="J12" s="80">
        <f ca="1">J6-J7-J8-J10-J11</f>
        <v>2856.5</v>
      </c>
      <c r="K12" s="12"/>
      <c r="L12" s="15" t="s">
        <v>19</v>
      </c>
      <c r="M12" s="28"/>
      <c r="N12" s="28"/>
      <c r="O12" s="29">
        <f ca="1">D6*B16</f>
        <v>2</v>
      </c>
    </row>
    <row r="13" spans="1:15" ht="15.75" thickBot="1" x14ac:dyDescent="0.3">
      <c r="I13" s="79"/>
      <c r="J13" s="81"/>
      <c r="K13" s="19"/>
      <c r="L13" s="20"/>
      <c r="M13" s="31"/>
      <c r="N13" s="31"/>
      <c r="O13" s="32"/>
    </row>
    <row r="14" spans="1:15" x14ac:dyDescent="0.25">
      <c r="A14" s="33" t="s">
        <v>21</v>
      </c>
      <c r="B14" s="34">
        <v>55</v>
      </c>
      <c r="C14" s="34"/>
    </row>
    <row r="15" spans="1:15" x14ac:dyDescent="0.25">
      <c r="A15" s="33" t="s">
        <v>22</v>
      </c>
      <c r="B15" s="34">
        <v>30</v>
      </c>
      <c r="C15" s="34"/>
    </row>
    <row r="16" spans="1:15" x14ac:dyDescent="0.25">
      <c r="A16" s="33" t="s">
        <v>23</v>
      </c>
      <c r="B16" s="34">
        <v>1</v>
      </c>
      <c r="C16" s="34"/>
    </row>
    <row r="17" spans="1:3" x14ac:dyDescent="0.25">
      <c r="A17" s="33" t="s">
        <v>24</v>
      </c>
      <c r="B17" s="34">
        <v>6.5000000000000002E-2</v>
      </c>
      <c r="C17" s="34"/>
    </row>
    <row r="18" spans="1:3" x14ac:dyDescent="0.25">
      <c r="A18" s="33" t="s">
        <v>25</v>
      </c>
      <c r="B18" s="34">
        <v>4.4999999999999998E-2</v>
      </c>
      <c r="C18" s="34"/>
    </row>
    <row r="19" spans="1:3" x14ac:dyDescent="0.25">
      <c r="A19" s="33" t="s">
        <v>26</v>
      </c>
      <c r="B19" s="34">
        <v>0.15</v>
      </c>
      <c r="C19" s="34"/>
    </row>
    <row r="20" spans="1:3" x14ac:dyDescent="0.25">
      <c r="A20" s="33" t="s">
        <v>27</v>
      </c>
      <c r="B20" s="34">
        <v>2070</v>
      </c>
      <c r="C20" s="34"/>
    </row>
    <row r="21" spans="1:3" x14ac:dyDescent="0.25">
      <c r="A21" s="33" t="s">
        <v>28</v>
      </c>
      <c r="B21" s="34">
        <v>1.34</v>
      </c>
      <c r="C21" s="34"/>
    </row>
    <row r="22" spans="1:3" x14ac:dyDescent="0.25">
      <c r="A22" s="33" t="s">
        <v>29</v>
      </c>
      <c r="B22" s="34">
        <v>25</v>
      </c>
      <c r="C22" s="34"/>
    </row>
    <row r="23" spans="1:3" x14ac:dyDescent="0.25">
      <c r="A23" s="33" t="s">
        <v>12</v>
      </c>
      <c r="B23" s="34">
        <v>1</v>
      </c>
      <c r="C23" s="34"/>
    </row>
    <row r="25" spans="1:3" x14ac:dyDescent="0.25">
      <c r="A25" s="85">
        <f>DATE(L4,1,1)</f>
        <v>42736</v>
      </c>
      <c r="B25" t="s">
        <v>45</v>
      </c>
    </row>
    <row r="26" spans="1:3" x14ac:dyDescent="0.25">
      <c r="A26" s="85">
        <f>A27-3</f>
        <v>42839</v>
      </c>
      <c r="B26" t="s">
        <v>47</v>
      </c>
    </row>
    <row r="27" spans="1:3" x14ac:dyDescent="0.25">
      <c r="A27" s="85">
        <f>(DOLLAR(("4/"&amp;L4)/7+MOD(19*MOD(L4,19)-7,30)*14%,)*7-6)+1</f>
        <v>42842</v>
      </c>
      <c r="B27" t="s">
        <v>46</v>
      </c>
    </row>
    <row r="28" spans="1:3" x14ac:dyDescent="0.25">
      <c r="A28" s="85">
        <f>DATE(L4,5,1)</f>
        <v>42856</v>
      </c>
      <c r="B28" t="s">
        <v>48</v>
      </c>
    </row>
    <row r="29" spans="1:3" x14ac:dyDescent="0.25">
      <c r="A29" s="85">
        <f>DATE(L4,5,8)</f>
        <v>42863</v>
      </c>
      <c r="B29" t="s">
        <v>49</v>
      </c>
    </row>
    <row r="30" spans="1:3" x14ac:dyDescent="0.25">
      <c r="A30" s="85">
        <f>DATE(L4,7,5)</f>
        <v>42921</v>
      </c>
      <c r="B30" t="s">
        <v>50</v>
      </c>
    </row>
    <row r="31" spans="1:3" x14ac:dyDescent="0.25">
      <c r="A31" s="85">
        <f>DATE(L4,7,6)</f>
        <v>42922</v>
      </c>
      <c r="B31" t="s">
        <v>51</v>
      </c>
    </row>
    <row r="32" spans="1:3" x14ac:dyDescent="0.25">
      <c r="A32" s="85">
        <f>DATE(L4,9,28)</f>
        <v>43006</v>
      </c>
      <c r="B32" t="s">
        <v>52</v>
      </c>
    </row>
    <row r="33" spans="1:2" x14ac:dyDescent="0.25">
      <c r="A33" s="85">
        <f>DATE(L4,10,28)</f>
        <v>43036</v>
      </c>
      <c r="B33" t="s">
        <v>53</v>
      </c>
    </row>
    <row r="34" spans="1:2" x14ac:dyDescent="0.25">
      <c r="A34" s="85">
        <f>DATE(L4,11,17)</f>
        <v>43056</v>
      </c>
      <c r="B34" t="s">
        <v>54</v>
      </c>
    </row>
    <row r="35" spans="1:2" x14ac:dyDescent="0.25">
      <c r="A35" s="85">
        <f>DATE(L4,12,24)</f>
        <v>43093</v>
      </c>
      <c r="B35" t="s">
        <v>55</v>
      </c>
    </row>
    <row r="36" spans="1:2" x14ac:dyDescent="0.25">
      <c r="A36" s="85">
        <f>DATE(L4,12,25)</f>
        <v>43094</v>
      </c>
      <c r="B36" t="s">
        <v>56</v>
      </c>
    </row>
    <row r="37" spans="1:2" x14ac:dyDescent="0.25">
      <c r="A37" s="85">
        <f>DATE(L4,12,26)</f>
        <v>43095</v>
      </c>
      <c r="B37" t="s">
        <v>57</v>
      </c>
    </row>
  </sheetData>
  <mergeCells count="5">
    <mergeCell ref="I4:J5"/>
    <mergeCell ref="L4:L5"/>
    <mergeCell ref="I12:I13"/>
    <mergeCell ref="J12:J13"/>
    <mergeCell ref="K4:K5"/>
  </mergeCells>
  <dataValidations count="1">
    <dataValidation type="list" allowBlank="1" showInputMessage="1" showErrorMessage="1" sqref="K4:K5">
      <formula1>"1,2,3,4,5,6,7,8,9,10,11,12"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AE63"/>
  <sheetViews>
    <sheetView showGridLines="0" zoomScale="115" zoomScaleNormal="115" workbookViewId="0">
      <selection activeCell="E15" sqref="E15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2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2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1.3333333333333333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2.0833333333333426E-2</v>
      </c>
      <c r="I7" s="45">
        <f>SUM(I9:I39)</f>
        <v>0</v>
      </c>
      <c r="J7" s="46">
        <f>SUM(J9:J39)</f>
        <v>0</v>
      </c>
      <c r="K7" s="45">
        <f>SUM(K9:K39)</f>
        <v>1.3541666666666667</v>
      </c>
      <c r="L7" s="47">
        <f>SUM(L9:L39)</f>
        <v>3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St</v>
      </c>
      <c r="D9" s="91">
        <f>DATE(J3,J2,1)</f>
        <v>42767</v>
      </c>
      <c r="E9" s="92">
        <v>0.28125</v>
      </c>
      <c r="F9" s="92">
        <v>0.65625</v>
      </c>
      <c r="G9" s="105" t="str">
        <f>IF(H9="","",IF(K9-'Výpočet mzdy'!$B$10&lt;0,"-",""))</f>
        <v/>
      </c>
      <c r="H9" s="109">
        <f>IF(AND(K9&lt;&gt;"",K9&lt;&gt;0,K9&lt;&gt;'Výpočet mzdy'!$B$10),ABS(K9-'Výpočet mzdy'!$B$10),"")</f>
        <v>2.083333333333337E-2</v>
      </c>
      <c r="I9" s="93"/>
      <c r="J9" s="93" t="str">
        <f>IF(ISERROR(MATCH(D9,'Výpočet mzdy'!$A$25:$A$37,0)),"",K9)</f>
        <v/>
      </c>
      <c r="K9" s="93">
        <f>IF(OR(ISBLANK(E9),ISBLANK(F9)),"",F9-E9-'Výpočet mzdy'!$D$10)</f>
        <v>0.35416666666666669</v>
      </c>
      <c r="L9" s="89">
        <v>1</v>
      </c>
      <c r="N9" s="52"/>
      <c r="O9" s="85"/>
    </row>
    <row r="10" spans="1:21" x14ac:dyDescent="0.25">
      <c r="B10" s="89">
        <f>IF(D10=WORKDAY(D10-1,1,'Výpočet mzdy'!$A$25:$A$37),COUNT($B$8:$B9)+1,"")</f>
        <v>2</v>
      </c>
      <c r="C10" s="90" t="str">
        <f t="shared" ref="C10:C36" si="0">PROPER(TEXT(D10,"ddd"))</f>
        <v>Št</v>
      </c>
      <c r="D10" s="91">
        <f>D9+1</f>
        <v>42768</v>
      </c>
      <c r="E10" s="92">
        <v>0.29166666666666669</v>
      </c>
      <c r="F10" s="92">
        <v>0.64583333333333337</v>
      </c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>
        <f>IF(OR(ISBLANK(E10),ISBLANK(F10)),"",F10-E10-'Výpočet mzdy'!$D$10)</f>
        <v>0.33333333333333337</v>
      </c>
      <c r="L10" s="89">
        <v>1</v>
      </c>
      <c r="O10" s="85"/>
      <c r="U10" s="52"/>
    </row>
    <row r="11" spans="1:21" x14ac:dyDescent="0.25">
      <c r="B11" s="89">
        <f>IF(D11=WORKDAY(D11-1,1,'Výpočet mzdy'!$A$25:$A$37),COUNT($B$8:$B10)+1,"")</f>
        <v>3</v>
      </c>
      <c r="C11" s="90" t="str">
        <f t="shared" si="0"/>
        <v>Pi</v>
      </c>
      <c r="D11" s="91">
        <f t="shared" ref="D11:D36" si="1">D10+1</f>
        <v>42769</v>
      </c>
      <c r="E11" s="92">
        <v>0.29166666666666669</v>
      </c>
      <c r="F11" s="92">
        <v>0.58333333333333337</v>
      </c>
      <c r="G11" s="105" t="str">
        <f>IF(H11="","",IF(K11-'Výpočet mzdy'!$B$10&lt;0,"-",""))</f>
        <v>-</v>
      </c>
      <c r="H11" s="109">
        <f>IF(AND(K11&lt;&gt;"",K11&lt;&gt;0,K11&lt;&gt;'Výpočet mzdy'!$B$10),ABS(K11-'Výpočet mzdy'!$B$10),"")</f>
        <v>6.2499999999999944E-2</v>
      </c>
      <c r="I11" s="93"/>
      <c r="J11" s="93" t="str">
        <f>IF(ISERROR(MATCH(D11,'Výpočet mzdy'!$A$25:$A$37,0)),"",K11)</f>
        <v/>
      </c>
      <c r="K11" s="93">
        <f>IF(OR(ISBLANK(E11),ISBLANK(F11)),"",F11-E11-'Výpočet mzdy'!$D$10)</f>
        <v>0.27083333333333337</v>
      </c>
      <c r="L11" s="89"/>
      <c r="N11" s="5"/>
      <c r="O11" s="85"/>
      <c r="U11" s="5"/>
    </row>
    <row r="12" spans="1:21" x14ac:dyDescent="0.25">
      <c r="B12" s="89" t="str">
        <f>IF(D12=WORKDAY(D12-1,1,'Výpočet mzdy'!$A$25:$A$37),COUNT($B$8:$B11)+1,"")</f>
        <v/>
      </c>
      <c r="C12" s="90" t="str">
        <f t="shared" si="0"/>
        <v>So</v>
      </c>
      <c r="D12" s="91">
        <f t="shared" si="1"/>
        <v>42770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 t="str">
        <f>IF(D13=WORKDAY(D13-1,1,'Výpočet mzdy'!$A$25:$A$37),COUNT($B$8:$B12)+1,"")</f>
        <v/>
      </c>
      <c r="C13" s="90" t="str">
        <f t="shared" si="0"/>
        <v>Ne</v>
      </c>
      <c r="D13" s="91">
        <f t="shared" si="1"/>
        <v>42771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Po</v>
      </c>
      <c r="D14" s="91">
        <f t="shared" si="1"/>
        <v>42772</v>
      </c>
      <c r="E14" s="92">
        <v>0.25</v>
      </c>
      <c r="F14" s="92">
        <v>0.66666666666666663</v>
      </c>
      <c r="G14" s="106"/>
      <c r="H14" s="109">
        <f>IF(AND(K14&lt;&gt;"",K14&lt;&gt;0,K14&lt;&gt;'Výpočet mzdy'!$B$10),ABS(K14-'Výpočet mzdy'!$B$10),"")</f>
        <v>6.25E-2</v>
      </c>
      <c r="I14" s="93"/>
      <c r="J14" s="93" t="str">
        <f>IF(ISERROR(MATCH(D14,'Výpočet mzdy'!$A$25:$A$37,0)),"",K14)</f>
        <v/>
      </c>
      <c r="K14" s="93">
        <f>IF(OR(ISBLANK(E14),ISBLANK(F14)),"",F14-E14-'Výpočet mzdy'!$D$10)</f>
        <v>0.39583333333333331</v>
      </c>
      <c r="L14" s="89">
        <v>1</v>
      </c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Ut</v>
      </c>
      <c r="D15" s="91">
        <f t="shared" si="1"/>
        <v>42773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St</v>
      </c>
      <c r="D16" s="91">
        <f t="shared" si="1"/>
        <v>42774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7</v>
      </c>
      <c r="C17" s="90" t="str">
        <f t="shared" si="0"/>
        <v>Št</v>
      </c>
      <c r="D17" s="91">
        <f t="shared" si="1"/>
        <v>42775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8</v>
      </c>
      <c r="C18" s="90" t="str">
        <f t="shared" si="0"/>
        <v>Pi</v>
      </c>
      <c r="D18" s="91">
        <f t="shared" si="1"/>
        <v>42776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 t="str">
        <f>IF(D19=WORKDAY(D19-1,1,'Výpočet mzdy'!$A$25:$A$37),COUNT($B$8:$B18)+1,"")</f>
        <v/>
      </c>
      <c r="C19" s="90" t="str">
        <f t="shared" si="0"/>
        <v>So</v>
      </c>
      <c r="D19" s="91">
        <f t="shared" si="1"/>
        <v>42777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 t="str">
        <f>IF(D20=WORKDAY(D20-1,1,'Výpočet mzdy'!$A$25:$A$37),COUNT($B$8:$B19)+1,"")</f>
        <v/>
      </c>
      <c r="C20" s="90" t="str">
        <f t="shared" si="0"/>
        <v>Ne</v>
      </c>
      <c r="D20" s="91">
        <f t="shared" si="1"/>
        <v>42778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Po</v>
      </c>
      <c r="D21" s="91">
        <f t="shared" si="1"/>
        <v>42779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Ut</v>
      </c>
      <c r="D22" s="91">
        <f t="shared" si="1"/>
        <v>42780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St</v>
      </c>
      <c r="D23" s="91">
        <f t="shared" si="1"/>
        <v>42781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12</v>
      </c>
      <c r="C24" s="90" t="str">
        <f t="shared" si="0"/>
        <v>Št</v>
      </c>
      <c r="D24" s="91">
        <f t="shared" si="1"/>
        <v>42782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13</v>
      </c>
      <c r="C25" s="90" t="str">
        <f t="shared" si="0"/>
        <v>Pi</v>
      </c>
      <c r="D25" s="91">
        <f t="shared" si="1"/>
        <v>42783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 t="str">
        <f>IF(D26=WORKDAY(D26-1,1,'Výpočet mzdy'!$A$25:$A$37),COUNT($B$8:$B25)+1,"")</f>
        <v/>
      </c>
      <c r="C26" s="90" t="str">
        <f t="shared" si="0"/>
        <v>So</v>
      </c>
      <c r="D26" s="91">
        <f t="shared" si="1"/>
        <v>42784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 t="str">
        <f>IF(D27=WORKDAY(D27-1,1,'Výpočet mzdy'!$A$25:$A$37),COUNT($B$8:$B26)+1,"")</f>
        <v/>
      </c>
      <c r="C27" s="90" t="str">
        <f t="shared" si="0"/>
        <v>Ne</v>
      </c>
      <c r="D27" s="91">
        <f t="shared" si="1"/>
        <v>42785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14</v>
      </c>
      <c r="C28" s="90" t="str">
        <f t="shared" si="0"/>
        <v>Po</v>
      </c>
      <c r="D28" s="91">
        <f t="shared" si="1"/>
        <v>42786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15</v>
      </c>
      <c r="C29" s="90" t="str">
        <f t="shared" si="0"/>
        <v>Ut</v>
      </c>
      <c r="D29" s="91">
        <f t="shared" si="1"/>
        <v>42787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16</v>
      </c>
      <c r="C30" s="90" t="str">
        <f t="shared" si="0"/>
        <v>St</v>
      </c>
      <c r="D30" s="91">
        <f t="shared" si="1"/>
        <v>42788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17</v>
      </c>
      <c r="C31" s="90" t="str">
        <f t="shared" si="0"/>
        <v>Št</v>
      </c>
      <c r="D31" s="91">
        <f t="shared" si="1"/>
        <v>42789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18</v>
      </c>
      <c r="C32" s="90" t="str">
        <f t="shared" si="0"/>
        <v>Pi</v>
      </c>
      <c r="D32" s="91">
        <f t="shared" si="1"/>
        <v>42790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 t="str">
        <f>IF(D33=WORKDAY(D33-1,1,'Výpočet mzdy'!$A$25:$A$37),COUNT($B$8:$B32)+1,"")</f>
        <v/>
      </c>
      <c r="C33" s="90" t="str">
        <f t="shared" si="0"/>
        <v>So</v>
      </c>
      <c r="D33" s="91">
        <f t="shared" si="1"/>
        <v>42791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 t="str">
        <f>IF(D34=WORKDAY(D34-1,1,'Výpočet mzdy'!$A$25:$A$37),COUNT($B$8:$B33)+1,"")</f>
        <v/>
      </c>
      <c r="C34" s="90" t="str">
        <f t="shared" si="0"/>
        <v>Ne</v>
      </c>
      <c r="D34" s="91">
        <f t="shared" si="1"/>
        <v>42792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19</v>
      </c>
      <c r="C35" s="90" t="str">
        <f t="shared" si="0"/>
        <v>Po</v>
      </c>
      <c r="D35" s="91">
        <f t="shared" si="1"/>
        <v>42793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20</v>
      </c>
      <c r="C36" s="90" t="str">
        <f t="shared" si="0"/>
        <v>Ut</v>
      </c>
      <c r="D36" s="91">
        <f t="shared" si="1"/>
        <v>42794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 t="str">
        <f>IF(D37="","",IF(D37=WORKDAY(D37-1,1,'Výpočet mzdy'!$A$25:$A$37),COUNT($B$8:$B36)+1,""))</f>
        <v/>
      </c>
      <c r="C37" s="90" t="str">
        <f>IF(D37="","",PROPER(TEXT(D37,"ddd")))</f>
        <v/>
      </c>
      <c r="D37" s="91" t="str">
        <f>IF(MONTH(D36+1)=MONTH(D36),D36+1,"")</f>
        <v/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 t="str">
        <f>IF(D38="","",IF(D38=WORKDAY(D38-1,1,'Výpočet mzdy'!$A$25:$A$37),COUNT($B$8:$B37)+1,""))</f>
        <v/>
      </c>
      <c r="C38" s="90" t="str">
        <f t="shared" ref="C38:C39" si="2">IF(D38="","",PROPER(TEXT(D38,"ddd")))</f>
        <v/>
      </c>
      <c r="D38" s="91" t="str">
        <f>IF(D37="","",IF(MONTH(D37+1)=MONTH(D37),D37+1,""))</f>
        <v/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 t="str">
        <f>IF(D39="","",IF(D39=WORKDAY(D39-1,1,'Výpočet mzdy'!$A$25:$A$37),COUNT($B$8:$B38)+1,""))</f>
        <v/>
      </c>
      <c r="C39" s="90" t="str">
        <f t="shared" si="2"/>
        <v/>
      </c>
      <c r="D39" s="91" t="str">
        <f>IF(D38="","",IF(MONTH(D38+1)=MONTH(D38),D38+1,""))</f>
        <v/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53" priority="5">
      <formula>WEEKDAY($D9,2)&gt;5</formula>
    </cfRule>
  </conditionalFormatting>
  <conditionalFormatting sqref="H9:H39">
    <cfRule type="expression" dxfId="52" priority="3">
      <formula>(G9="-")</formula>
    </cfRule>
  </conditionalFormatting>
  <conditionalFormatting sqref="H7">
    <cfRule type="expression" dxfId="51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75F0CB73-9EE5-4265-A07A-DF686EF5AB5E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45F2E0F3-9500-488D-8214-7A4A3B8A7AFB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AE63"/>
  <sheetViews>
    <sheetView showGridLines="0" zoomScale="115" zoomScaleNormal="115" workbookViewId="0">
      <selection activeCell="E16" sqref="E16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3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3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1.6666666666666665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1.1102230246251565E-16</v>
      </c>
      <c r="I7" s="45">
        <f>SUM(I9:I39)</f>
        <v>0</v>
      </c>
      <c r="J7" s="46">
        <f>SUM(J9:J39)</f>
        <v>0</v>
      </c>
      <c r="K7" s="45">
        <f>SUM(K9:K39)</f>
        <v>1.6666666666666667</v>
      </c>
      <c r="L7" s="47">
        <f>SUM(L9:L39)</f>
        <v>5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St</v>
      </c>
      <c r="D9" s="91">
        <f>DATE(J3,J2,1)</f>
        <v>42795</v>
      </c>
      <c r="E9" s="92">
        <v>0.28125</v>
      </c>
      <c r="F9" s="92">
        <v>0.65625</v>
      </c>
      <c r="G9" s="105" t="str">
        <f>IF(H9="","",IF(K9-'Výpočet mzdy'!$B$10&lt;0,"-",""))</f>
        <v/>
      </c>
      <c r="H9" s="109">
        <f>IF(AND(K9&lt;&gt;"",K9&lt;&gt;0,K9&lt;&gt;'Výpočet mzdy'!$B$10),ABS(K9-'Výpočet mzdy'!$B$10),"")</f>
        <v>2.083333333333337E-2</v>
      </c>
      <c r="I9" s="93"/>
      <c r="J9" s="93" t="str">
        <f>IF(ISERROR(MATCH(D9,'Výpočet mzdy'!$A$25:$A$37,0)),"",K9)</f>
        <v/>
      </c>
      <c r="K9" s="93">
        <f>IF(OR(ISBLANK(E9),ISBLANK(F9)),"",F9-E9-'Výpočet mzdy'!$D$10)</f>
        <v>0.35416666666666669</v>
      </c>
      <c r="L9" s="89">
        <v>1</v>
      </c>
      <c r="N9" s="52"/>
      <c r="O9" s="85"/>
    </row>
    <row r="10" spans="1:21" x14ac:dyDescent="0.25">
      <c r="B10" s="89">
        <f>IF(D10=WORKDAY(D10-1,1,'Výpočet mzdy'!$A$25:$A$37),COUNT($B$8:$B9)+1,"")</f>
        <v>2</v>
      </c>
      <c r="C10" s="90" t="str">
        <f t="shared" ref="C10:C36" si="0">PROPER(TEXT(D10,"ddd"))</f>
        <v>Št</v>
      </c>
      <c r="D10" s="91">
        <f>D9+1</f>
        <v>42796</v>
      </c>
      <c r="E10" s="92">
        <v>0.29166666666666669</v>
      </c>
      <c r="F10" s="92">
        <v>0.64583333333333337</v>
      </c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>
        <f>IF(OR(ISBLANK(E10),ISBLANK(F10)),"",F10-E10-'Výpočet mzdy'!$D$10)</f>
        <v>0.33333333333333337</v>
      </c>
      <c r="L10" s="89">
        <v>1</v>
      </c>
      <c r="O10" s="85"/>
      <c r="U10" s="52"/>
    </row>
    <row r="11" spans="1:21" x14ac:dyDescent="0.25">
      <c r="B11" s="89">
        <f>IF(D11=WORKDAY(D11-1,1,'Výpočet mzdy'!$A$25:$A$37),COUNT($B$8:$B10)+1,"")</f>
        <v>3</v>
      </c>
      <c r="C11" s="90" t="str">
        <f t="shared" si="0"/>
        <v>Pi</v>
      </c>
      <c r="D11" s="91">
        <f t="shared" ref="D11:D36" si="1">D10+1</f>
        <v>42797</v>
      </c>
      <c r="E11" s="92">
        <v>0.29166666666666669</v>
      </c>
      <c r="F11" s="92">
        <v>0.58333333333333337</v>
      </c>
      <c r="G11" s="105" t="str">
        <f>IF(H11="","",IF(K11-'Výpočet mzdy'!$B$10&lt;0,"-",""))</f>
        <v>-</v>
      </c>
      <c r="H11" s="109">
        <f>IF(AND(K11&lt;&gt;"",K11&lt;&gt;0,K11&lt;&gt;'Výpočet mzdy'!$B$10),ABS(K11-'Výpočet mzdy'!$B$10),"")</f>
        <v>6.2499999999999944E-2</v>
      </c>
      <c r="I11" s="93"/>
      <c r="J11" s="93" t="str">
        <f>IF(ISERROR(MATCH(D11,'Výpočet mzdy'!$A$25:$A$37,0)),"",K11)</f>
        <v/>
      </c>
      <c r="K11" s="93">
        <f>IF(OR(ISBLANK(E11),ISBLANK(F11)),"",F11-E11-'Výpočet mzdy'!$D$10)</f>
        <v>0.27083333333333337</v>
      </c>
      <c r="L11" s="89">
        <v>1</v>
      </c>
      <c r="N11" s="5"/>
      <c r="O11" s="85"/>
      <c r="U11" s="5"/>
    </row>
    <row r="12" spans="1:21" x14ac:dyDescent="0.25">
      <c r="B12" s="89" t="str">
        <f>IF(D12=WORKDAY(D12-1,1,'Výpočet mzdy'!$A$25:$A$37),COUNT($B$8:$B11)+1,"")</f>
        <v/>
      </c>
      <c r="C12" s="90" t="str">
        <f t="shared" si="0"/>
        <v>So</v>
      </c>
      <c r="D12" s="91">
        <f t="shared" si="1"/>
        <v>42798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 t="str">
        <f>IF(D13=WORKDAY(D13-1,1,'Výpočet mzdy'!$A$25:$A$37),COUNT($B$8:$B12)+1,"")</f>
        <v/>
      </c>
      <c r="C13" s="90" t="str">
        <f t="shared" si="0"/>
        <v>Ne</v>
      </c>
      <c r="D13" s="91">
        <f t="shared" si="1"/>
        <v>42799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Po</v>
      </c>
      <c r="D14" s="91">
        <f t="shared" si="1"/>
        <v>42800</v>
      </c>
      <c r="E14" s="92">
        <v>0.27083333333333331</v>
      </c>
      <c r="F14" s="92">
        <v>0.66666666666666663</v>
      </c>
      <c r="G14" s="106"/>
      <c r="H14" s="109">
        <f>IF(AND(K14&lt;&gt;"",K14&lt;&gt;0,K14&lt;&gt;'Výpočet mzdy'!$B$10),ABS(K14-'Výpočet mzdy'!$B$10),"")</f>
        <v>4.1666666666666685E-2</v>
      </c>
      <c r="I14" s="93"/>
      <c r="J14" s="93" t="str">
        <f>IF(ISERROR(MATCH(D14,'Výpočet mzdy'!$A$25:$A$37,0)),"",K14)</f>
        <v/>
      </c>
      <c r="K14" s="93">
        <f>IF(OR(ISBLANK(E14),ISBLANK(F14)),"",F14-E14-'Výpočet mzdy'!$D$10)</f>
        <v>0.375</v>
      </c>
      <c r="L14" s="89">
        <v>1</v>
      </c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Ut</v>
      </c>
      <c r="D15" s="91">
        <f t="shared" si="1"/>
        <v>42801</v>
      </c>
      <c r="E15" s="93">
        <v>0.28125</v>
      </c>
      <c r="F15" s="93">
        <v>0.63541666666666663</v>
      </c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>
        <f>IF(OR(ISBLANK(E15),ISBLANK(F15)),"",F15-E15-'Výpočet mzdy'!$D$10)</f>
        <v>0.33333333333333331</v>
      </c>
      <c r="L15" s="89">
        <v>1</v>
      </c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St</v>
      </c>
      <c r="D16" s="91">
        <f t="shared" si="1"/>
        <v>42802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7</v>
      </c>
      <c r="C17" s="90" t="str">
        <f t="shared" si="0"/>
        <v>Št</v>
      </c>
      <c r="D17" s="91">
        <f t="shared" si="1"/>
        <v>42803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8</v>
      </c>
      <c r="C18" s="90" t="str">
        <f t="shared" si="0"/>
        <v>Pi</v>
      </c>
      <c r="D18" s="91">
        <f t="shared" si="1"/>
        <v>42804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 t="str">
        <f>IF(D19=WORKDAY(D19-1,1,'Výpočet mzdy'!$A$25:$A$37),COUNT($B$8:$B18)+1,"")</f>
        <v/>
      </c>
      <c r="C19" s="90" t="str">
        <f t="shared" si="0"/>
        <v>So</v>
      </c>
      <c r="D19" s="91">
        <f t="shared" si="1"/>
        <v>42805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 t="str">
        <f>IF(D20=WORKDAY(D20-1,1,'Výpočet mzdy'!$A$25:$A$37),COUNT($B$8:$B19)+1,"")</f>
        <v/>
      </c>
      <c r="C20" s="90" t="str">
        <f t="shared" si="0"/>
        <v>Ne</v>
      </c>
      <c r="D20" s="91">
        <f t="shared" si="1"/>
        <v>42806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Po</v>
      </c>
      <c r="D21" s="91">
        <f t="shared" si="1"/>
        <v>42807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Ut</v>
      </c>
      <c r="D22" s="91">
        <f t="shared" si="1"/>
        <v>42808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St</v>
      </c>
      <c r="D23" s="91">
        <f t="shared" si="1"/>
        <v>42809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12</v>
      </c>
      <c r="C24" s="90" t="str">
        <f t="shared" si="0"/>
        <v>Št</v>
      </c>
      <c r="D24" s="91">
        <f t="shared" si="1"/>
        <v>42810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13</v>
      </c>
      <c r="C25" s="90" t="str">
        <f t="shared" si="0"/>
        <v>Pi</v>
      </c>
      <c r="D25" s="91">
        <f t="shared" si="1"/>
        <v>42811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 t="str">
        <f>IF(D26=WORKDAY(D26-1,1,'Výpočet mzdy'!$A$25:$A$37),COUNT($B$8:$B25)+1,"")</f>
        <v/>
      </c>
      <c r="C26" s="90" t="str">
        <f t="shared" si="0"/>
        <v>So</v>
      </c>
      <c r="D26" s="91">
        <f t="shared" si="1"/>
        <v>42812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 t="str">
        <f>IF(D27=WORKDAY(D27-1,1,'Výpočet mzdy'!$A$25:$A$37),COUNT($B$8:$B26)+1,"")</f>
        <v/>
      </c>
      <c r="C27" s="90" t="str">
        <f t="shared" si="0"/>
        <v>Ne</v>
      </c>
      <c r="D27" s="91">
        <f t="shared" si="1"/>
        <v>42813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14</v>
      </c>
      <c r="C28" s="90" t="str">
        <f t="shared" si="0"/>
        <v>Po</v>
      </c>
      <c r="D28" s="91">
        <f t="shared" si="1"/>
        <v>42814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15</v>
      </c>
      <c r="C29" s="90" t="str">
        <f t="shared" si="0"/>
        <v>Ut</v>
      </c>
      <c r="D29" s="91">
        <f t="shared" si="1"/>
        <v>42815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16</v>
      </c>
      <c r="C30" s="90" t="str">
        <f t="shared" si="0"/>
        <v>St</v>
      </c>
      <c r="D30" s="91">
        <f t="shared" si="1"/>
        <v>42816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17</v>
      </c>
      <c r="C31" s="90" t="str">
        <f t="shared" si="0"/>
        <v>Št</v>
      </c>
      <c r="D31" s="91">
        <f t="shared" si="1"/>
        <v>42817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18</v>
      </c>
      <c r="C32" s="90" t="str">
        <f t="shared" si="0"/>
        <v>Pi</v>
      </c>
      <c r="D32" s="91">
        <f t="shared" si="1"/>
        <v>42818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 t="str">
        <f>IF(D33=WORKDAY(D33-1,1,'Výpočet mzdy'!$A$25:$A$37),COUNT($B$8:$B32)+1,"")</f>
        <v/>
      </c>
      <c r="C33" s="90" t="str">
        <f t="shared" si="0"/>
        <v>So</v>
      </c>
      <c r="D33" s="91">
        <f t="shared" si="1"/>
        <v>42819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 t="str">
        <f>IF(D34=WORKDAY(D34-1,1,'Výpočet mzdy'!$A$25:$A$37),COUNT($B$8:$B33)+1,"")</f>
        <v/>
      </c>
      <c r="C34" s="90" t="str">
        <f t="shared" si="0"/>
        <v>Ne</v>
      </c>
      <c r="D34" s="91">
        <f t="shared" si="1"/>
        <v>42820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19</v>
      </c>
      <c r="C35" s="90" t="str">
        <f t="shared" si="0"/>
        <v>Po</v>
      </c>
      <c r="D35" s="91">
        <f t="shared" si="1"/>
        <v>42821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20</v>
      </c>
      <c r="C36" s="90" t="str">
        <f t="shared" si="0"/>
        <v>Ut</v>
      </c>
      <c r="D36" s="91">
        <f t="shared" si="1"/>
        <v>42822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21</v>
      </c>
      <c r="C37" s="90" t="str">
        <f>IF(D37="","",PROPER(TEXT(D37,"ddd")))</f>
        <v>St</v>
      </c>
      <c r="D37" s="91">
        <f>IF(MONTH(D36+1)=MONTH(D36),D36+1,"")</f>
        <v>42823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>
        <f>IF(D38="","",IF(D38=WORKDAY(D38-1,1,'Výpočet mzdy'!$A$25:$A$37),COUNT($B$8:$B37)+1,""))</f>
        <v>22</v>
      </c>
      <c r="C38" s="90" t="str">
        <f t="shared" ref="C38:C39" si="2">IF(D38="","",PROPER(TEXT(D38,"ddd")))</f>
        <v>Št</v>
      </c>
      <c r="D38" s="91">
        <f>IF(D37="","",IF(MONTH(D37+1)=MONTH(D37),D37+1,""))</f>
        <v>42824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>
        <f>IF(D39="","",IF(D39=WORKDAY(D39-1,1,'Výpočet mzdy'!$A$25:$A$37),COUNT($B$8:$B38)+1,""))</f>
        <v>23</v>
      </c>
      <c r="C39" s="90" t="str">
        <f t="shared" si="2"/>
        <v>Pi</v>
      </c>
      <c r="D39" s="91">
        <f>IF(D38="","",IF(MONTH(D38+1)=MONTH(D38),D38+1,""))</f>
        <v>42825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48" priority="5">
      <formula>WEEKDAY($D9,2)&gt;5</formula>
    </cfRule>
  </conditionalFormatting>
  <conditionalFormatting sqref="H9:H39">
    <cfRule type="expression" dxfId="47" priority="3">
      <formula>(G9="-")</formula>
    </cfRule>
  </conditionalFormatting>
  <conditionalFormatting sqref="H7">
    <cfRule type="expression" dxfId="46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5748F94-F5CC-442E-8A3D-9DD60BE428EF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858298CC-2894-495F-B583-ADEB308D4C84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4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4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 t="str">
        <f>IF(D9=WORKDAY(D9-1,1,'Výpočet mzdy'!$A$25:$A$37),COUNT($B$8:$B8)+1,"")</f>
        <v/>
      </c>
      <c r="C9" s="90" t="str">
        <f>PROPER(TEXT(D9,"ddd"))</f>
        <v>So</v>
      </c>
      <c r="D9" s="91">
        <f>DATE(J3,J2,1)</f>
        <v>42826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 t="str">
        <f>IF(D10=WORKDAY(D10-1,1,'Výpočet mzdy'!$A$25:$A$37),COUNT($B$8:$B9)+1,"")</f>
        <v/>
      </c>
      <c r="C10" s="90" t="str">
        <f t="shared" ref="C10:C36" si="0">PROPER(TEXT(D10,"ddd"))</f>
        <v>Ne</v>
      </c>
      <c r="D10" s="91">
        <f>D9+1</f>
        <v>42827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>
        <f>IF(D11=WORKDAY(D11-1,1,'Výpočet mzdy'!$A$25:$A$37),COUNT($B$8:$B10)+1,"")</f>
        <v>1</v>
      </c>
      <c r="C11" s="90" t="str">
        <f t="shared" si="0"/>
        <v>Po</v>
      </c>
      <c r="D11" s="91">
        <f t="shared" ref="D11:D36" si="1">D10+1</f>
        <v>42828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2</v>
      </c>
      <c r="C12" s="90" t="str">
        <f t="shared" si="0"/>
        <v>Ut</v>
      </c>
      <c r="D12" s="91">
        <f t="shared" si="1"/>
        <v>42829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3</v>
      </c>
      <c r="C13" s="90" t="str">
        <f t="shared" si="0"/>
        <v>St</v>
      </c>
      <c r="D13" s="91">
        <f t="shared" si="1"/>
        <v>42830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Št</v>
      </c>
      <c r="D14" s="91">
        <f t="shared" si="1"/>
        <v>42831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Pi</v>
      </c>
      <c r="D15" s="91">
        <f t="shared" si="1"/>
        <v>42832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 t="str">
        <f>IF(D16=WORKDAY(D16-1,1,'Výpočet mzdy'!$A$25:$A$37),COUNT($B$8:$B15)+1,"")</f>
        <v/>
      </c>
      <c r="C16" s="90" t="str">
        <f t="shared" si="0"/>
        <v>So</v>
      </c>
      <c r="D16" s="91">
        <f t="shared" si="1"/>
        <v>42833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 t="str">
        <f>IF(D17=WORKDAY(D17-1,1,'Výpočet mzdy'!$A$25:$A$37),COUNT($B$8:$B16)+1,"")</f>
        <v/>
      </c>
      <c r="C17" s="90" t="str">
        <f t="shared" si="0"/>
        <v>Ne</v>
      </c>
      <c r="D17" s="91">
        <f t="shared" si="1"/>
        <v>42834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6</v>
      </c>
      <c r="C18" s="90" t="str">
        <f t="shared" si="0"/>
        <v>Po</v>
      </c>
      <c r="D18" s="91">
        <f t="shared" si="1"/>
        <v>42835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7</v>
      </c>
      <c r="C19" s="90" t="str">
        <f t="shared" si="0"/>
        <v>Ut</v>
      </c>
      <c r="D19" s="91">
        <f t="shared" si="1"/>
        <v>42836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8</v>
      </c>
      <c r="C20" s="90" t="str">
        <f t="shared" si="0"/>
        <v>St</v>
      </c>
      <c r="D20" s="91">
        <f t="shared" si="1"/>
        <v>42837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Št</v>
      </c>
      <c r="D21" s="91">
        <f t="shared" si="1"/>
        <v>42838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 t="str">
        <f>IF(D22=WORKDAY(D22-1,1,'Výpočet mzdy'!$A$25:$A$37),COUNT($B$8:$B21)+1,"")</f>
        <v/>
      </c>
      <c r="C22" s="90" t="str">
        <f t="shared" si="0"/>
        <v>Pi</v>
      </c>
      <c r="D22" s="91">
        <f t="shared" si="1"/>
        <v>42839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 t="str">
        <f>IF(D23=WORKDAY(D23-1,1,'Výpočet mzdy'!$A$25:$A$37),COUNT($B$8:$B22)+1,"")</f>
        <v/>
      </c>
      <c r="C23" s="90" t="str">
        <f t="shared" si="0"/>
        <v>So</v>
      </c>
      <c r="D23" s="91">
        <f t="shared" si="1"/>
        <v>42840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 t="str">
        <f>IF(D24=WORKDAY(D24-1,1,'Výpočet mzdy'!$A$25:$A$37),COUNT($B$8:$B23)+1,"")</f>
        <v/>
      </c>
      <c r="C24" s="90" t="str">
        <f t="shared" si="0"/>
        <v>Ne</v>
      </c>
      <c r="D24" s="91">
        <f t="shared" si="1"/>
        <v>42841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 t="str">
        <f>IF(D25=WORKDAY(D25-1,1,'Výpočet mzdy'!$A$25:$A$37),COUNT($B$8:$B24)+1,"")</f>
        <v/>
      </c>
      <c r="C25" s="90" t="str">
        <f t="shared" si="0"/>
        <v>Po</v>
      </c>
      <c r="D25" s="91">
        <f t="shared" si="1"/>
        <v>42842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10</v>
      </c>
      <c r="C26" s="90" t="str">
        <f t="shared" si="0"/>
        <v>Ut</v>
      </c>
      <c r="D26" s="91">
        <f t="shared" si="1"/>
        <v>42843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11</v>
      </c>
      <c r="C27" s="90" t="str">
        <f t="shared" si="0"/>
        <v>St</v>
      </c>
      <c r="D27" s="91">
        <f t="shared" si="1"/>
        <v>42844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12</v>
      </c>
      <c r="C28" s="90" t="str">
        <f t="shared" si="0"/>
        <v>Št</v>
      </c>
      <c r="D28" s="91">
        <f t="shared" si="1"/>
        <v>42845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13</v>
      </c>
      <c r="C29" s="90" t="str">
        <f t="shared" si="0"/>
        <v>Pi</v>
      </c>
      <c r="D29" s="91">
        <f t="shared" si="1"/>
        <v>42846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 t="str">
        <f>IF(D30=WORKDAY(D30-1,1,'Výpočet mzdy'!$A$25:$A$37),COUNT($B$8:$B29)+1,"")</f>
        <v/>
      </c>
      <c r="C30" s="90" t="str">
        <f t="shared" si="0"/>
        <v>So</v>
      </c>
      <c r="D30" s="91">
        <f t="shared" si="1"/>
        <v>42847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 t="str">
        <f>IF(D31=WORKDAY(D31-1,1,'Výpočet mzdy'!$A$25:$A$37),COUNT($B$8:$B30)+1,"")</f>
        <v/>
      </c>
      <c r="C31" s="90" t="str">
        <f t="shared" si="0"/>
        <v>Ne</v>
      </c>
      <c r="D31" s="91">
        <f t="shared" si="1"/>
        <v>42848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14</v>
      </c>
      <c r="C32" s="90" t="str">
        <f t="shared" si="0"/>
        <v>Po</v>
      </c>
      <c r="D32" s="91">
        <f t="shared" si="1"/>
        <v>42849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15</v>
      </c>
      <c r="C33" s="90" t="str">
        <f t="shared" si="0"/>
        <v>Ut</v>
      </c>
      <c r="D33" s="91">
        <f t="shared" si="1"/>
        <v>42850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16</v>
      </c>
      <c r="C34" s="90" t="str">
        <f t="shared" si="0"/>
        <v>St</v>
      </c>
      <c r="D34" s="91">
        <f t="shared" si="1"/>
        <v>42851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17</v>
      </c>
      <c r="C35" s="90" t="str">
        <f t="shared" si="0"/>
        <v>Št</v>
      </c>
      <c r="D35" s="91">
        <f t="shared" si="1"/>
        <v>42852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18</v>
      </c>
      <c r="C36" s="90" t="str">
        <f t="shared" si="0"/>
        <v>Pi</v>
      </c>
      <c r="D36" s="91">
        <f t="shared" si="1"/>
        <v>42853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 t="str">
        <f>IF(D37="","",IF(D37=WORKDAY(D37-1,1,'Výpočet mzdy'!$A$25:$A$37),COUNT($B$8:$B36)+1,""))</f>
        <v/>
      </c>
      <c r="C37" s="90" t="str">
        <f>IF(D37="","",PROPER(TEXT(D37,"ddd")))</f>
        <v>So</v>
      </c>
      <c r="D37" s="91">
        <f>IF(MONTH(D36+1)=MONTH(D36),D36+1,"")</f>
        <v>42854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 t="str">
        <f>IF(D38="","",IF(D38=WORKDAY(D38-1,1,'Výpočet mzdy'!$A$25:$A$37),COUNT($B$8:$B37)+1,""))</f>
        <v/>
      </c>
      <c r="C38" s="90" t="str">
        <f t="shared" ref="C38:C39" si="2">IF(D38="","",PROPER(TEXT(D38,"ddd")))</f>
        <v>Ne</v>
      </c>
      <c r="D38" s="91">
        <f>IF(D37="","",IF(MONTH(D37+1)=MONTH(D37),D37+1,""))</f>
        <v>42855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 t="str">
        <f>IF(D39="","",IF(D39=WORKDAY(D39-1,1,'Výpočet mzdy'!$A$25:$A$37),COUNT($B$8:$B38)+1,""))</f>
        <v/>
      </c>
      <c r="C39" s="90" t="str">
        <f t="shared" si="2"/>
        <v/>
      </c>
      <c r="D39" s="91" t="str">
        <f>IF(D38="","",IF(MONTH(D38+1)=MONTH(D38),D38+1,""))</f>
        <v/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43" priority="5">
      <formula>WEEKDAY($D9,2)&gt;5</formula>
    </cfRule>
  </conditionalFormatting>
  <conditionalFormatting sqref="H9:H39">
    <cfRule type="expression" dxfId="42" priority="3">
      <formula>(G9="-")</formula>
    </cfRule>
  </conditionalFormatting>
  <conditionalFormatting sqref="H7">
    <cfRule type="expression" dxfId="41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174ED82-9F74-48EE-AB43-B939F17E4AC2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827646B1-72BA-4231-8719-14D2DA11AC83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5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5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 t="str">
        <f>IF(D9=WORKDAY(D9-1,1,'Výpočet mzdy'!$A$25:$A$37),COUNT($B$8:$B8)+1,"")</f>
        <v/>
      </c>
      <c r="C9" s="90" t="str">
        <f>PROPER(TEXT(D9,"ddd"))</f>
        <v>Po</v>
      </c>
      <c r="D9" s="91">
        <f>DATE(J3,J2,1)</f>
        <v>42856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>
        <f>IF(D10=WORKDAY(D10-1,1,'Výpočet mzdy'!$A$25:$A$37),COUNT($B$8:$B9)+1,"")</f>
        <v>1</v>
      </c>
      <c r="C10" s="90" t="str">
        <f t="shared" ref="C10:C36" si="0">PROPER(TEXT(D10,"ddd"))</f>
        <v>Ut</v>
      </c>
      <c r="D10" s="91">
        <f>D9+1</f>
        <v>42857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>
        <f>IF(D11=WORKDAY(D11-1,1,'Výpočet mzdy'!$A$25:$A$37),COUNT($B$8:$B10)+1,"")</f>
        <v>2</v>
      </c>
      <c r="C11" s="90" t="str">
        <f t="shared" si="0"/>
        <v>St</v>
      </c>
      <c r="D11" s="91">
        <f t="shared" ref="D11:D36" si="1">D10+1</f>
        <v>42858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3</v>
      </c>
      <c r="C12" s="90" t="str">
        <f t="shared" si="0"/>
        <v>Št</v>
      </c>
      <c r="D12" s="91">
        <f t="shared" si="1"/>
        <v>42859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4</v>
      </c>
      <c r="C13" s="90" t="str">
        <f t="shared" si="0"/>
        <v>Pi</v>
      </c>
      <c r="D13" s="91">
        <f t="shared" si="1"/>
        <v>42860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 t="str">
        <f>IF(D14=WORKDAY(D14-1,1,'Výpočet mzdy'!$A$25:$A$37),COUNT($B$8:$B13)+1,"")</f>
        <v/>
      </c>
      <c r="C14" s="90" t="str">
        <f t="shared" si="0"/>
        <v>So</v>
      </c>
      <c r="D14" s="91">
        <f t="shared" si="1"/>
        <v>42861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 t="str">
        <f>IF(D15=WORKDAY(D15-1,1,'Výpočet mzdy'!$A$25:$A$37),COUNT($B$8:$B14)+1,"")</f>
        <v/>
      </c>
      <c r="C15" s="90" t="str">
        <f t="shared" si="0"/>
        <v>Ne</v>
      </c>
      <c r="D15" s="91">
        <f t="shared" si="1"/>
        <v>42862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 t="str">
        <f>IF(D16=WORKDAY(D16-1,1,'Výpočet mzdy'!$A$25:$A$37),COUNT($B$8:$B15)+1,"")</f>
        <v/>
      </c>
      <c r="C16" s="90" t="str">
        <f t="shared" si="0"/>
        <v>Po</v>
      </c>
      <c r="D16" s="91">
        <f t="shared" si="1"/>
        <v>42863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5</v>
      </c>
      <c r="C17" s="90" t="str">
        <f t="shared" si="0"/>
        <v>Ut</v>
      </c>
      <c r="D17" s="91">
        <f t="shared" si="1"/>
        <v>42864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6</v>
      </c>
      <c r="C18" s="90" t="str">
        <f t="shared" si="0"/>
        <v>St</v>
      </c>
      <c r="D18" s="91">
        <f t="shared" si="1"/>
        <v>42865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7</v>
      </c>
      <c r="C19" s="90" t="str">
        <f t="shared" si="0"/>
        <v>Št</v>
      </c>
      <c r="D19" s="91">
        <f t="shared" si="1"/>
        <v>42866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8</v>
      </c>
      <c r="C20" s="90" t="str">
        <f t="shared" si="0"/>
        <v>Pi</v>
      </c>
      <c r="D20" s="91">
        <f t="shared" si="1"/>
        <v>42867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 t="str">
        <f>IF(D21=WORKDAY(D21-1,1,'Výpočet mzdy'!$A$25:$A$37),COUNT($B$8:$B20)+1,"")</f>
        <v/>
      </c>
      <c r="C21" s="90" t="str">
        <f t="shared" si="0"/>
        <v>So</v>
      </c>
      <c r="D21" s="91">
        <f t="shared" si="1"/>
        <v>42868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 t="str">
        <f>IF(D22=WORKDAY(D22-1,1,'Výpočet mzdy'!$A$25:$A$37),COUNT($B$8:$B21)+1,"")</f>
        <v/>
      </c>
      <c r="C22" s="90" t="str">
        <f t="shared" si="0"/>
        <v>Ne</v>
      </c>
      <c r="D22" s="91">
        <f t="shared" si="1"/>
        <v>42869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9</v>
      </c>
      <c r="C23" s="90" t="str">
        <f t="shared" si="0"/>
        <v>Po</v>
      </c>
      <c r="D23" s="91">
        <f t="shared" si="1"/>
        <v>42870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10</v>
      </c>
      <c r="C24" s="90" t="str">
        <f t="shared" si="0"/>
        <v>Ut</v>
      </c>
      <c r="D24" s="91">
        <f t="shared" si="1"/>
        <v>42871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11</v>
      </c>
      <c r="C25" s="90" t="str">
        <f t="shared" si="0"/>
        <v>St</v>
      </c>
      <c r="D25" s="91">
        <f t="shared" si="1"/>
        <v>42872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12</v>
      </c>
      <c r="C26" s="90" t="str">
        <f t="shared" si="0"/>
        <v>Št</v>
      </c>
      <c r="D26" s="91">
        <f t="shared" si="1"/>
        <v>42873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13</v>
      </c>
      <c r="C27" s="90" t="str">
        <f t="shared" si="0"/>
        <v>Pi</v>
      </c>
      <c r="D27" s="91">
        <f t="shared" si="1"/>
        <v>42874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 t="str">
        <f>IF(D28=WORKDAY(D28-1,1,'Výpočet mzdy'!$A$25:$A$37),COUNT($B$8:$B27)+1,"")</f>
        <v/>
      </c>
      <c r="C28" s="90" t="str">
        <f t="shared" si="0"/>
        <v>So</v>
      </c>
      <c r="D28" s="91">
        <f t="shared" si="1"/>
        <v>42875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 t="str">
        <f>IF(D29=WORKDAY(D29-1,1,'Výpočet mzdy'!$A$25:$A$37),COUNT($B$8:$B28)+1,"")</f>
        <v/>
      </c>
      <c r="C29" s="90" t="str">
        <f t="shared" si="0"/>
        <v>Ne</v>
      </c>
      <c r="D29" s="91">
        <f t="shared" si="1"/>
        <v>42876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14</v>
      </c>
      <c r="C30" s="90" t="str">
        <f t="shared" si="0"/>
        <v>Po</v>
      </c>
      <c r="D30" s="91">
        <f t="shared" si="1"/>
        <v>42877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15</v>
      </c>
      <c r="C31" s="90" t="str">
        <f t="shared" si="0"/>
        <v>Ut</v>
      </c>
      <c r="D31" s="91">
        <f t="shared" si="1"/>
        <v>42878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16</v>
      </c>
      <c r="C32" s="90" t="str">
        <f t="shared" si="0"/>
        <v>St</v>
      </c>
      <c r="D32" s="91">
        <f t="shared" si="1"/>
        <v>42879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17</v>
      </c>
      <c r="C33" s="90" t="str">
        <f t="shared" si="0"/>
        <v>Št</v>
      </c>
      <c r="D33" s="91">
        <f t="shared" si="1"/>
        <v>42880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18</v>
      </c>
      <c r="C34" s="90" t="str">
        <f t="shared" si="0"/>
        <v>Pi</v>
      </c>
      <c r="D34" s="91">
        <f t="shared" si="1"/>
        <v>42881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 t="str">
        <f>IF(D35=WORKDAY(D35-1,1,'Výpočet mzdy'!$A$25:$A$37),COUNT($B$8:$B34)+1,"")</f>
        <v/>
      </c>
      <c r="C35" s="90" t="str">
        <f t="shared" si="0"/>
        <v>So</v>
      </c>
      <c r="D35" s="91">
        <f t="shared" si="1"/>
        <v>42882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 t="str">
        <f>IF(D36=WORKDAY(D36-1,1,'Výpočet mzdy'!$A$25:$A$37),COUNT($B$8:$B35)+1,"")</f>
        <v/>
      </c>
      <c r="C36" s="90" t="str">
        <f t="shared" si="0"/>
        <v>Ne</v>
      </c>
      <c r="D36" s="91">
        <f t="shared" si="1"/>
        <v>42883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19</v>
      </c>
      <c r="C37" s="90" t="str">
        <f>IF(D37="","",PROPER(TEXT(D37,"ddd")))</f>
        <v>Po</v>
      </c>
      <c r="D37" s="91">
        <f>IF(MONTH(D36+1)=MONTH(D36),D36+1,"")</f>
        <v>42884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>
        <f>IF(D38="","",IF(D38=WORKDAY(D38-1,1,'Výpočet mzdy'!$A$25:$A$37),COUNT($B$8:$B37)+1,""))</f>
        <v>20</v>
      </c>
      <c r="C38" s="90" t="str">
        <f t="shared" ref="C38:C39" si="2">IF(D38="","",PROPER(TEXT(D38,"ddd")))</f>
        <v>Ut</v>
      </c>
      <c r="D38" s="91">
        <f>IF(D37="","",IF(MONTH(D37+1)=MONTH(D37),D37+1,""))</f>
        <v>42885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>
        <f>IF(D39="","",IF(D39=WORKDAY(D39-1,1,'Výpočet mzdy'!$A$25:$A$37),COUNT($B$8:$B38)+1,""))</f>
        <v>21</v>
      </c>
      <c r="C39" s="90" t="str">
        <f t="shared" si="2"/>
        <v>St</v>
      </c>
      <c r="D39" s="91">
        <f>IF(D38="","",IF(MONTH(D38+1)=MONTH(D38),D38+1,""))</f>
        <v>42886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38" priority="5">
      <formula>WEEKDAY($D9,2)&gt;5</formula>
    </cfRule>
  </conditionalFormatting>
  <conditionalFormatting sqref="H9:H39">
    <cfRule type="expression" dxfId="37" priority="3">
      <formula>(G9="-")</formula>
    </cfRule>
  </conditionalFormatting>
  <conditionalFormatting sqref="H7">
    <cfRule type="expression" dxfId="36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49803F0-1A7C-4D4F-8B05-39D70C988862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9CF4B500-43CB-4765-87D1-29A68FB4719F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6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6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Št</v>
      </c>
      <c r="D9" s="91">
        <f>DATE(J3,J2,1)</f>
        <v>42887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>
        <f>IF(D10=WORKDAY(D10-1,1,'Výpočet mzdy'!$A$25:$A$37),COUNT($B$8:$B9)+1,"")</f>
        <v>2</v>
      </c>
      <c r="C10" s="90" t="str">
        <f t="shared" ref="C10:C36" si="0">PROPER(TEXT(D10,"ddd"))</f>
        <v>Pi</v>
      </c>
      <c r="D10" s="91">
        <f>D9+1</f>
        <v>42888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 t="str">
        <f>IF(D11=WORKDAY(D11-1,1,'Výpočet mzdy'!$A$25:$A$37),COUNT($B$8:$B10)+1,"")</f>
        <v/>
      </c>
      <c r="C11" s="90" t="str">
        <f t="shared" si="0"/>
        <v>So</v>
      </c>
      <c r="D11" s="91">
        <f t="shared" ref="D11:D36" si="1">D10+1</f>
        <v>42889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 t="str">
        <f>IF(D12=WORKDAY(D12-1,1,'Výpočet mzdy'!$A$25:$A$37),COUNT($B$8:$B11)+1,"")</f>
        <v/>
      </c>
      <c r="C12" s="90" t="str">
        <f t="shared" si="0"/>
        <v>Ne</v>
      </c>
      <c r="D12" s="91">
        <f t="shared" si="1"/>
        <v>42890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3</v>
      </c>
      <c r="C13" s="90" t="str">
        <f t="shared" si="0"/>
        <v>Po</v>
      </c>
      <c r="D13" s="91">
        <f t="shared" si="1"/>
        <v>42891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Ut</v>
      </c>
      <c r="D14" s="91">
        <f t="shared" si="1"/>
        <v>42892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St</v>
      </c>
      <c r="D15" s="91">
        <f t="shared" si="1"/>
        <v>42893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Št</v>
      </c>
      <c r="D16" s="91">
        <f t="shared" si="1"/>
        <v>42894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7</v>
      </c>
      <c r="C17" s="90" t="str">
        <f t="shared" si="0"/>
        <v>Pi</v>
      </c>
      <c r="D17" s="91">
        <f t="shared" si="1"/>
        <v>42895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 t="str">
        <f>IF(D18=WORKDAY(D18-1,1,'Výpočet mzdy'!$A$25:$A$37),COUNT($B$8:$B17)+1,"")</f>
        <v/>
      </c>
      <c r="C18" s="90" t="str">
        <f t="shared" si="0"/>
        <v>So</v>
      </c>
      <c r="D18" s="91">
        <f t="shared" si="1"/>
        <v>42896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 t="str">
        <f>IF(D19=WORKDAY(D19-1,1,'Výpočet mzdy'!$A$25:$A$37),COUNT($B$8:$B18)+1,"")</f>
        <v/>
      </c>
      <c r="C19" s="90" t="str">
        <f t="shared" si="0"/>
        <v>Ne</v>
      </c>
      <c r="D19" s="91">
        <f t="shared" si="1"/>
        <v>42897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8</v>
      </c>
      <c r="C20" s="90" t="str">
        <f t="shared" si="0"/>
        <v>Po</v>
      </c>
      <c r="D20" s="91">
        <f t="shared" si="1"/>
        <v>42898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Ut</v>
      </c>
      <c r="D21" s="91">
        <f t="shared" si="1"/>
        <v>42899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St</v>
      </c>
      <c r="D22" s="91">
        <f t="shared" si="1"/>
        <v>42900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Št</v>
      </c>
      <c r="D23" s="91">
        <f t="shared" si="1"/>
        <v>42901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12</v>
      </c>
      <c r="C24" s="90" t="str">
        <f t="shared" si="0"/>
        <v>Pi</v>
      </c>
      <c r="D24" s="91">
        <f t="shared" si="1"/>
        <v>42902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 t="str">
        <f>IF(D25=WORKDAY(D25-1,1,'Výpočet mzdy'!$A$25:$A$37),COUNT($B$8:$B24)+1,"")</f>
        <v/>
      </c>
      <c r="C25" s="90" t="str">
        <f t="shared" si="0"/>
        <v>So</v>
      </c>
      <c r="D25" s="91">
        <f t="shared" si="1"/>
        <v>42903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 t="str">
        <f>IF(D26=WORKDAY(D26-1,1,'Výpočet mzdy'!$A$25:$A$37),COUNT($B$8:$B25)+1,"")</f>
        <v/>
      </c>
      <c r="C26" s="90" t="str">
        <f t="shared" si="0"/>
        <v>Ne</v>
      </c>
      <c r="D26" s="91">
        <f t="shared" si="1"/>
        <v>42904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13</v>
      </c>
      <c r="C27" s="90" t="str">
        <f t="shared" si="0"/>
        <v>Po</v>
      </c>
      <c r="D27" s="91">
        <f t="shared" si="1"/>
        <v>42905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14</v>
      </c>
      <c r="C28" s="90" t="str">
        <f t="shared" si="0"/>
        <v>Ut</v>
      </c>
      <c r="D28" s="91">
        <f t="shared" si="1"/>
        <v>42906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15</v>
      </c>
      <c r="C29" s="90" t="str">
        <f t="shared" si="0"/>
        <v>St</v>
      </c>
      <c r="D29" s="91">
        <f t="shared" si="1"/>
        <v>42907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16</v>
      </c>
      <c r="C30" s="90" t="str">
        <f t="shared" si="0"/>
        <v>Št</v>
      </c>
      <c r="D30" s="91">
        <f t="shared" si="1"/>
        <v>42908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17</v>
      </c>
      <c r="C31" s="90" t="str">
        <f t="shared" si="0"/>
        <v>Pi</v>
      </c>
      <c r="D31" s="91">
        <f t="shared" si="1"/>
        <v>42909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 t="str">
        <f>IF(D32=WORKDAY(D32-1,1,'Výpočet mzdy'!$A$25:$A$37),COUNT($B$8:$B31)+1,"")</f>
        <v/>
      </c>
      <c r="C32" s="90" t="str">
        <f t="shared" si="0"/>
        <v>So</v>
      </c>
      <c r="D32" s="91">
        <f t="shared" si="1"/>
        <v>42910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 t="str">
        <f>IF(D33=WORKDAY(D33-1,1,'Výpočet mzdy'!$A$25:$A$37),COUNT($B$8:$B32)+1,"")</f>
        <v/>
      </c>
      <c r="C33" s="90" t="str">
        <f t="shared" si="0"/>
        <v>Ne</v>
      </c>
      <c r="D33" s="91">
        <f t="shared" si="1"/>
        <v>42911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18</v>
      </c>
      <c r="C34" s="90" t="str">
        <f t="shared" si="0"/>
        <v>Po</v>
      </c>
      <c r="D34" s="91">
        <f t="shared" si="1"/>
        <v>42912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19</v>
      </c>
      <c r="C35" s="90" t="str">
        <f t="shared" si="0"/>
        <v>Ut</v>
      </c>
      <c r="D35" s="91">
        <f t="shared" si="1"/>
        <v>42913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20</v>
      </c>
      <c r="C36" s="90" t="str">
        <f t="shared" si="0"/>
        <v>St</v>
      </c>
      <c r="D36" s="91">
        <f t="shared" si="1"/>
        <v>42914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21</v>
      </c>
      <c r="C37" s="90" t="str">
        <f>IF(D37="","",PROPER(TEXT(D37,"ddd")))</f>
        <v>Št</v>
      </c>
      <c r="D37" s="91">
        <f>IF(MONTH(D36+1)=MONTH(D36),D36+1,"")</f>
        <v>42915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>
        <f>IF(D38="","",IF(D38=WORKDAY(D38-1,1,'Výpočet mzdy'!$A$25:$A$37),COUNT($B$8:$B37)+1,""))</f>
        <v>22</v>
      </c>
      <c r="C38" s="90" t="str">
        <f t="shared" ref="C38:C39" si="2">IF(D38="","",PROPER(TEXT(D38,"ddd")))</f>
        <v>Pi</v>
      </c>
      <c r="D38" s="91">
        <f>IF(D37="","",IF(MONTH(D37+1)=MONTH(D37),D37+1,""))</f>
        <v>42916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 t="str">
        <f>IF(D39="","",IF(D39=WORKDAY(D39-1,1,'Výpočet mzdy'!$A$25:$A$37),COUNT($B$8:$B38)+1,""))</f>
        <v/>
      </c>
      <c r="C39" s="90" t="str">
        <f t="shared" si="2"/>
        <v/>
      </c>
      <c r="D39" s="91" t="str">
        <f>IF(D38="","",IF(MONTH(D38+1)=MONTH(D38),D38+1,""))</f>
        <v/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33" priority="5">
      <formula>WEEKDAY($D9,2)&gt;5</formula>
    </cfRule>
  </conditionalFormatting>
  <conditionalFormatting sqref="H9:H39">
    <cfRule type="expression" dxfId="32" priority="3">
      <formula>(G9="-")</formula>
    </cfRule>
  </conditionalFormatting>
  <conditionalFormatting sqref="H7">
    <cfRule type="expression" dxfId="31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B4EB9CB0-49FA-4925-BB6D-6E9A992F6831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20393F64-3FB4-4EB2-8780-57B9E606D1BC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7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7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 t="str">
        <f>IF(D9=WORKDAY(D9-1,1,'Výpočet mzdy'!$A$25:$A$37),COUNT($B$8:$B8)+1,"")</f>
        <v/>
      </c>
      <c r="C9" s="90" t="str">
        <f>PROPER(TEXT(D9,"ddd"))</f>
        <v>So</v>
      </c>
      <c r="D9" s="91">
        <f>DATE(J3,J2,1)</f>
        <v>42917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 t="str">
        <f>IF(D10=WORKDAY(D10-1,1,'Výpočet mzdy'!$A$25:$A$37),COUNT($B$8:$B9)+1,"")</f>
        <v/>
      </c>
      <c r="C10" s="90" t="str">
        <f t="shared" ref="C10:C36" si="0">PROPER(TEXT(D10,"ddd"))</f>
        <v>Ne</v>
      </c>
      <c r="D10" s="91">
        <f>D9+1</f>
        <v>42918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>
        <f>IF(D11=WORKDAY(D11-1,1,'Výpočet mzdy'!$A$25:$A$37),COUNT($B$8:$B10)+1,"")</f>
        <v>1</v>
      </c>
      <c r="C11" s="90" t="str">
        <f t="shared" si="0"/>
        <v>Po</v>
      </c>
      <c r="D11" s="91">
        <f t="shared" ref="D11:D36" si="1">D10+1</f>
        <v>42919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2</v>
      </c>
      <c r="C12" s="90" t="str">
        <f t="shared" si="0"/>
        <v>Ut</v>
      </c>
      <c r="D12" s="91">
        <f t="shared" si="1"/>
        <v>42920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 t="str">
        <f>IF(D13=WORKDAY(D13-1,1,'Výpočet mzdy'!$A$25:$A$37),COUNT($B$8:$B12)+1,"")</f>
        <v/>
      </c>
      <c r="C13" s="90" t="str">
        <f t="shared" si="0"/>
        <v>St</v>
      </c>
      <c r="D13" s="91">
        <f t="shared" si="1"/>
        <v>42921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 t="str">
        <f>IF(D14=WORKDAY(D14-1,1,'Výpočet mzdy'!$A$25:$A$37),COUNT($B$8:$B13)+1,"")</f>
        <v/>
      </c>
      <c r="C14" s="90" t="str">
        <f t="shared" si="0"/>
        <v>Št</v>
      </c>
      <c r="D14" s="91">
        <f t="shared" si="1"/>
        <v>42922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3</v>
      </c>
      <c r="C15" s="90" t="str">
        <f t="shared" si="0"/>
        <v>Pi</v>
      </c>
      <c r="D15" s="91">
        <f t="shared" si="1"/>
        <v>42923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 t="str">
        <f>IF(D16=WORKDAY(D16-1,1,'Výpočet mzdy'!$A$25:$A$37),COUNT($B$8:$B15)+1,"")</f>
        <v/>
      </c>
      <c r="C16" s="90" t="str">
        <f t="shared" si="0"/>
        <v>So</v>
      </c>
      <c r="D16" s="91">
        <f t="shared" si="1"/>
        <v>42924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 t="str">
        <f>IF(D17=WORKDAY(D17-1,1,'Výpočet mzdy'!$A$25:$A$37),COUNT($B$8:$B16)+1,"")</f>
        <v/>
      </c>
      <c r="C17" s="90" t="str">
        <f t="shared" si="0"/>
        <v>Ne</v>
      </c>
      <c r="D17" s="91">
        <f t="shared" si="1"/>
        <v>42925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4</v>
      </c>
      <c r="C18" s="90" t="str">
        <f t="shared" si="0"/>
        <v>Po</v>
      </c>
      <c r="D18" s="91">
        <f t="shared" si="1"/>
        <v>42926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5</v>
      </c>
      <c r="C19" s="90" t="str">
        <f t="shared" si="0"/>
        <v>Ut</v>
      </c>
      <c r="D19" s="91">
        <f t="shared" si="1"/>
        <v>42927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6</v>
      </c>
      <c r="C20" s="90" t="str">
        <f t="shared" si="0"/>
        <v>St</v>
      </c>
      <c r="D20" s="91">
        <f t="shared" si="1"/>
        <v>42928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7</v>
      </c>
      <c r="C21" s="90" t="str">
        <f t="shared" si="0"/>
        <v>Št</v>
      </c>
      <c r="D21" s="91">
        <f t="shared" si="1"/>
        <v>42929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8</v>
      </c>
      <c r="C22" s="90" t="str">
        <f t="shared" si="0"/>
        <v>Pi</v>
      </c>
      <c r="D22" s="91">
        <f t="shared" si="1"/>
        <v>42930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 t="str">
        <f>IF(D23=WORKDAY(D23-1,1,'Výpočet mzdy'!$A$25:$A$37),COUNT($B$8:$B22)+1,"")</f>
        <v/>
      </c>
      <c r="C23" s="90" t="str">
        <f t="shared" si="0"/>
        <v>So</v>
      </c>
      <c r="D23" s="91">
        <f t="shared" si="1"/>
        <v>42931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 t="str">
        <f>IF(D24=WORKDAY(D24-1,1,'Výpočet mzdy'!$A$25:$A$37),COUNT($B$8:$B23)+1,"")</f>
        <v/>
      </c>
      <c r="C24" s="90" t="str">
        <f t="shared" si="0"/>
        <v>Ne</v>
      </c>
      <c r="D24" s="91">
        <f t="shared" si="1"/>
        <v>42932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9</v>
      </c>
      <c r="C25" s="90" t="str">
        <f t="shared" si="0"/>
        <v>Po</v>
      </c>
      <c r="D25" s="91">
        <f t="shared" si="1"/>
        <v>42933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10</v>
      </c>
      <c r="C26" s="90" t="str">
        <f t="shared" si="0"/>
        <v>Ut</v>
      </c>
      <c r="D26" s="91">
        <f t="shared" si="1"/>
        <v>42934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11</v>
      </c>
      <c r="C27" s="90" t="str">
        <f t="shared" si="0"/>
        <v>St</v>
      </c>
      <c r="D27" s="91">
        <f t="shared" si="1"/>
        <v>42935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12</v>
      </c>
      <c r="C28" s="90" t="str">
        <f t="shared" si="0"/>
        <v>Št</v>
      </c>
      <c r="D28" s="91">
        <f t="shared" si="1"/>
        <v>42936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13</v>
      </c>
      <c r="C29" s="90" t="str">
        <f t="shared" si="0"/>
        <v>Pi</v>
      </c>
      <c r="D29" s="91">
        <f t="shared" si="1"/>
        <v>42937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 t="str">
        <f>IF(D30=WORKDAY(D30-1,1,'Výpočet mzdy'!$A$25:$A$37),COUNT($B$8:$B29)+1,"")</f>
        <v/>
      </c>
      <c r="C30" s="90" t="str">
        <f t="shared" si="0"/>
        <v>So</v>
      </c>
      <c r="D30" s="91">
        <f t="shared" si="1"/>
        <v>42938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 t="str">
        <f>IF(D31=WORKDAY(D31-1,1,'Výpočet mzdy'!$A$25:$A$37),COUNT($B$8:$B30)+1,"")</f>
        <v/>
      </c>
      <c r="C31" s="90" t="str">
        <f t="shared" si="0"/>
        <v>Ne</v>
      </c>
      <c r="D31" s="91">
        <f t="shared" si="1"/>
        <v>42939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14</v>
      </c>
      <c r="C32" s="90" t="str">
        <f t="shared" si="0"/>
        <v>Po</v>
      </c>
      <c r="D32" s="91">
        <f t="shared" si="1"/>
        <v>42940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15</v>
      </c>
      <c r="C33" s="90" t="str">
        <f t="shared" si="0"/>
        <v>Ut</v>
      </c>
      <c r="D33" s="91">
        <f t="shared" si="1"/>
        <v>42941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16</v>
      </c>
      <c r="C34" s="90" t="str">
        <f t="shared" si="0"/>
        <v>St</v>
      </c>
      <c r="D34" s="91">
        <f t="shared" si="1"/>
        <v>42942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17</v>
      </c>
      <c r="C35" s="90" t="str">
        <f t="shared" si="0"/>
        <v>Št</v>
      </c>
      <c r="D35" s="91">
        <f t="shared" si="1"/>
        <v>42943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18</v>
      </c>
      <c r="C36" s="90" t="str">
        <f t="shared" si="0"/>
        <v>Pi</v>
      </c>
      <c r="D36" s="91">
        <f t="shared" si="1"/>
        <v>42944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 t="str">
        <f>IF(D37="","",IF(D37=WORKDAY(D37-1,1,'Výpočet mzdy'!$A$25:$A$37),COUNT($B$8:$B36)+1,""))</f>
        <v/>
      </c>
      <c r="C37" s="90" t="str">
        <f>IF(D37="","",PROPER(TEXT(D37,"ddd")))</f>
        <v>So</v>
      </c>
      <c r="D37" s="91">
        <f>IF(MONTH(D36+1)=MONTH(D36),D36+1,"")</f>
        <v>42945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 t="str">
        <f>IF(D38="","",IF(D38=WORKDAY(D38-1,1,'Výpočet mzdy'!$A$25:$A$37),COUNT($B$8:$B37)+1,""))</f>
        <v/>
      </c>
      <c r="C38" s="90" t="str">
        <f t="shared" ref="C38:C39" si="2">IF(D38="","",PROPER(TEXT(D38,"ddd")))</f>
        <v>Ne</v>
      </c>
      <c r="D38" s="91">
        <f>IF(D37="","",IF(MONTH(D37+1)=MONTH(D37),D37+1,""))</f>
        <v>42946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>
        <f>IF(D39="","",IF(D39=WORKDAY(D39-1,1,'Výpočet mzdy'!$A$25:$A$37),COUNT($B$8:$B38)+1,""))</f>
        <v>19</v>
      </c>
      <c r="C39" s="90" t="str">
        <f t="shared" si="2"/>
        <v>Po</v>
      </c>
      <c r="D39" s="91">
        <f>IF(D38="","",IF(MONTH(D38+1)=MONTH(D38),D38+1,""))</f>
        <v>42947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28" priority="5">
      <formula>WEEKDAY($D9,2)&gt;5</formula>
    </cfRule>
  </conditionalFormatting>
  <conditionalFormatting sqref="H9:H39">
    <cfRule type="expression" dxfId="27" priority="3">
      <formula>(G9="-")</formula>
    </cfRule>
  </conditionalFormatting>
  <conditionalFormatting sqref="H7">
    <cfRule type="expression" dxfId="26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FF7D331-22F4-45D3-AB7F-AFE31282C503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0175EAC5-EAFB-48E0-B13E-1FDD1388E72F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8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8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Ut</v>
      </c>
      <c r="D9" s="91">
        <f>DATE(J3,J2,1)</f>
        <v>42948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>
        <f>IF(D10=WORKDAY(D10-1,1,'Výpočet mzdy'!$A$25:$A$37),COUNT($B$8:$B9)+1,"")</f>
        <v>2</v>
      </c>
      <c r="C10" s="90" t="str">
        <f t="shared" ref="C10:C36" si="0">PROPER(TEXT(D10,"ddd"))</f>
        <v>St</v>
      </c>
      <c r="D10" s="91">
        <f>D9+1</f>
        <v>42949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>
        <f>IF(D11=WORKDAY(D11-1,1,'Výpočet mzdy'!$A$25:$A$37),COUNT($B$8:$B10)+1,"")</f>
        <v>3</v>
      </c>
      <c r="C11" s="90" t="str">
        <f t="shared" si="0"/>
        <v>Št</v>
      </c>
      <c r="D11" s="91">
        <f t="shared" ref="D11:D36" si="1">D10+1</f>
        <v>42950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4</v>
      </c>
      <c r="C12" s="90" t="str">
        <f t="shared" si="0"/>
        <v>Pi</v>
      </c>
      <c r="D12" s="91">
        <f t="shared" si="1"/>
        <v>42951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 t="str">
        <f>IF(D13=WORKDAY(D13-1,1,'Výpočet mzdy'!$A$25:$A$37),COUNT($B$8:$B12)+1,"")</f>
        <v/>
      </c>
      <c r="C13" s="90" t="str">
        <f t="shared" si="0"/>
        <v>So</v>
      </c>
      <c r="D13" s="91">
        <f t="shared" si="1"/>
        <v>42952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 t="str">
        <f>IF(D14=WORKDAY(D14-1,1,'Výpočet mzdy'!$A$25:$A$37),COUNT($B$8:$B13)+1,"")</f>
        <v/>
      </c>
      <c r="C14" s="90" t="str">
        <f t="shared" si="0"/>
        <v>Ne</v>
      </c>
      <c r="D14" s="91">
        <f t="shared" si="1"/>
        <v>42953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Po</v>
      </c>
      <c r="D15" s="91">
        <f t="shared" si="1"/>
        <v>42954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Ut</v>
      </c>
      <c r="D16" s="91">
        <f t="shared" si="1"/>
        <v>42955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>
        <f>IF(D17=WORKDAY(D17-1,1,'Výpočet mzdy'!$A$25:$A$37),COUNT($B$8:$B16)+1,"")</f>
        <v>7</v>
      </c>
      <c r="C17" s="90" t="str">
        <f t="shared" si="0"/>
        <v>St</v>
      </c>
      <c r="D17" s="91">
        <f t="shared" si="1"/>
        <v>42956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>
        <f>IF(D18=WORKDAY(D18-1,1,'Výpočet mzdy'!$A$25:$A$37),COUNT($B$8:$B17)+1,"")</f>
        <v>8</v>
      </c>
      <c r="C18" s="90" t="str">
        <f t="shared" si="0"/>
        <v>Št</v>
      </c>
      <c r="D18" s="91">
        <f t="shared" si="1"/>
        <v>42957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9</v>
      </c>
      <c r="C19" s="90" t="str">
        <f t="shared" si="0"/>
        <v>Pi</v>
      </c>
      <c r="D19" s="91">
        <f t="shared" si="1"/>
        <v>42958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 t="str">
        <f>IF(D20=WORKDAY(D20-1,1,'Výpočet mzdy'!$A$25:$A$37),COUNT($B$8:$B19)+1,"")</f>
        <v/>
      </c>
      <c r="C20" s="90" t="str">
        <f t="shared" si="0"/>
        <v>So</v>
      </c>
      <c r="D20" s="91">
        <f t="shared" si="1"/>
        <v>42959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 t="str">
        <f>IF(D21=WORKDAY(D21-1,1,'Výpočet mzdy'!$A$25:$A$37),COUNT($B$8:$B20)+1,"")</f>
        <v/>
      </c>
      <c r="C21" s="90" t="str">
        <f t="shared" si="0"/>
        <v>Ne</v>
      </c>
      <c r="D21" s="91">
        <f t="shared" si="1"/>
        <v>42960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Po</v>
      </c>
      <c r="D22" s="91">
        <f t="shared" si="1"/>
        <v>42961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Ut</v>
      </c>
      <c r="D23" s="91">
        <f t="shared" si="1"/>
        <v>42962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>
        <f>IF(D24=WORKDAY(D24-1,1,'Výpočet mzdy'!$A$25:$A$37),COUNT($B$8:$B23)+1,"")</f>
        <v>12</v>
      </c>
      <c r="C24" s="90" t="str">
        <f t="shared" si="0"/>
        <v>St</v>
      </c>
      <c r="D24" s="91">
        <f t="shared" si="1"/>
        <v>42963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>
        <f>IF(D25=WORKDAY(D25-1,1,'Výpočet mzdy'!$A$25:$A$37),COUNT($B$8:$B24)+1,"")</f>
        <v>13</v>
      </c>
      <c r="C25" s="90" t="str">
        <f t="shared" si="0"/>
        <v>Št</v>
      </c>
      <c r="D25" s="91">
        <f t="shared" si="1"/>
        <v>42964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14</v>
      </c>
      <c r="C26" s="90" t="str">
        <f t="shared" si="0"/>
        <v>Pi</v>
      </c>
      <c r="D26" s="91">
        <f t="shared" si="1"/>
        <v>42965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 t="str">
        <f>IF(D27=WORKDAY(D27-1,1,'Výpočet mzdy'!$A$25:$A$37),COUNT($B$8:$B26)+1,"")</f>
        <v/>
      </c>
      <c r="C27" s="90" t="str">
        <f t="shared" si="0"/>
        <v>So</v>
      </c>
      <c r="D27" s="91">
        <f t="shared" si="1"/>
        <v>42966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 t="str">
        <f>IF(D28=WORKDAY(D28-1,1,'Výpočet mzdy'!$A$25:$A$37),COUNT($B$8:$B27)+1,"")</f>
        <v/>
      </c>
      <c r="C28" s="90" t="str">
        <f t="shared" si="0"/>
        <v>Ne</v>
      </c>
      <c r="D28" s="91">
        <f t="shared" si="1"/>
        <v>42967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15</v>
      </c>
      <c r="C29" s="90" t="str">
        <f t="shared" si="0"/>
        <v>Po</v>
      </c>
      <c r="D29" s="91">
        <f t="shared" si="1"/>
        <v>42968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16</v>
      </c>
      <c r="C30" s="90" t="str">
        <f t="shared" si="0"/>
        <v>Ut</v>
      </c>
      <c r="D30" s="91">
        <f t="shared" si="1"/>
        <v>42969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>
        <f>IF(D31=WORKDAY(D31-1,1,'Výpočet mzdy'!$A$25:$A$37),COUNT($B$8:$B30)+1,"")</f>
        <v>17</v>
      </c>
      <c r="C31" s="90" t="str">
        <f t="shared" si="0"/>
        <v>St</v>
      </c>
      <c r="D31" s="91">
        <f t="shared" si="1"/>
        <v>42970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>
        <f>IF(D32=WORKDAY(D32-1,1,'Výpočet mzdy'!$A$25:$A$37),COUNT($B$8:$B31)+1,"")</f>
        <v>18</v>
      </c>
      <c r="C32" s="90" t="str">
        <f t="shared" si="0"/>
        <v>Št</v>
      </c>
      <c r="D32" s="91">
        <f t="shared" si="1"/>
        <v>42971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19</v>
      </c>
      <c r="C33" s="90" t="str">
        <f t="shared" si="0"/>
        <v>Pi</v>
      </c>
      <c r="D33" s="91">
        <f t="shared" si="1"/>
        <v>42972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 t="str">
        <f>IF(D34=WORKDAY(D34-1,1,'Výpočet mzdy'!$A$25:$A$37),COUNT($B$8:$B33)+1,"")</f>
        <v/>
      </c>
      <c r="C34" s="90" t="str">
        <f t="shared" si="0"/>
        <v>So</v>
      </c>
      <c r="D34" s="91">
        <f t="shared" si="1"/>
        <v>42973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 t="str">
        <f>IF(D35=WORKDAY(D35-1,1,'Výpočet mzdy'!$A$25:$A$37),COUNT($B$8:$B34)+1,"")</f>
        <v/>
      </c>
      <c r="C35" s="90" t="str">
        <f t="shared" si="0"/>
        <v>Ne</v>
      </c>
      <c r="D35" s="91">
        <f t="shared" si="1"/>
        <v>42974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>
        <f>IF(D36=WORKDAY(D36-1,1,'Výpočet mzdy'!$A$25:$A$37),COUNT($B$8:$B35)+1,"")</f>
        <v>20</v>
      </c>
      <c r="C36" s="90" t="str">
        <f t="shared" si="0"/>
        <v>Po</v>
      </c>
      <c r="D36" s="91">
        <f t="shared" si="1"/>
        <v>42975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21</v>
      </c>
      <c r="C37" s="90" t="str">
        <f>IF(D37="","",PROPER(TEXT(D37,"ddd")))</f>
        <v>Ut</v>
      </c>
      <c r="D37" s="91">
        <f>IF(MONTH(D36+1)=MONTH(D36),D36+1,"")</f>
        <v>42976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>
        <f>IF(D38="","",IF(D38=WORKDAY(D38-1,1,'Výpočet mzdy'!$A$25:$A$37),COUNT($B$8:$B37)+1,""))</f>
        <v>22</v>
      </c>
      <c r="C38" s="90" t="str">
        <f t="shared" ref="C38:C39" si="2">IF(D38="","",PROPER(TEXT(D38,"ddd")))</f>
        <v>St</v>
      </c>
      <c r="D38" s="91">
        <f>IF(D37="","",IF(MONTH(D37+1)=MONTH(D37),D37+1,""))</f>
        <v>42977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>
        <f>IF(D39="","",IF(D39=WORKDAY(D39-1,1,'Výpočet mzdy'!$A$25:$A$37),COUNT($B$8:$B38)+1,""))</f>
        <v>23</v>
      </c>
      <c r="C39" s="90" t="str">
        <f t="shared" si="2"/>
        <v>Št</v>
      </c>
      <c r="D39" s="91">
        <f>IF(D38="","",IF(MONTH(D38+1)=MONTH(D38),D38+1,""))</f>
        <v>42978</v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23" priority="5">
      <formula>WEEKDAY($D9,2)&gt;5</formula>
    </cfRule>
  </conditionalFormatting>
  <conditionalFormatting sqref="H9:H39">
    <cfRule type="expression" dxfId="22" priority="3">
      <formula>(G9="-")</formula>
    </cfRule>
  </conditionalFormatting>
  <conditionalFormatting sqref="H7">
    <cfRule type="expression" dxfId="21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BF314E1-2798-4C20-A39D-922C8ADAABBA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092D8249-6379-4C12-A88B-06F3046DA1AD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AE63"/>
  <sheetViews>
    <sheetView showGridLines="0" zoomScale="115" zoomScaleNormal="115" workbookViewId="0">
      <selection activeCell="E9" sqref="E9"/>
    </sheetView>
  </sheetViews>
  <sheetFormatPr defaultRowHeight="15" x14ac:dyDescent="0.25"/>
  <cols>
    <col min="2" max="2" width="4" customWidth="1"/>
    <col min="3" max="3" width="4.42578125" customWidth="1"/>
    <col min="4" max="4" width="7" style="49" customWidth="1"/>
    <col min="5" max="6" width="12.5703125" customWidth="1"/>
    <col min="7" max="7" width="4.5703125" style="100" customWidth="1"/>
    <col min="8" max="8" width="9.5703125" style="103" customWidth="1"/>
    <col min="9" max="9" width="16.5703125" customWidth="1"/>
    <col min="10" max="10" width="12.5703125" customWidth="1"/>
    <col min="11" max="11" width="16.42578125" customWidth="1"/>
    <col min="12" max="12" width="14" style="1" customWidth="1"/>
    <col min="13" max="13" width="7.5703125" customWidth="1"/>
    <col min="14" max="14" width="9.140625" customWidth="1"/>
    <col min="15" max="15" width="14.85546875" customWidth="1"/>
    <col min="16" max="16" width="11.42578125" customWidth="1"/>
    <col min="17" max="17" width="11.5703125" customWidth="1"/>
    <col min="18" max="18" width="10.5703125" customWidth="1"/>
    <col min="20" max="21" width="9.140625" customWidth="1"/>
    <col min="24" max="24" width="18.42578125" customWidth="1"/>
    <col min="25" max="25" width="12.5703125" customWidth="1"/>
    <col min="26" max="26" width="5.5703125" customWidth="1"/>
    <col min="27" max="27" width="23" customWidth="1"/>
  </cols>
  <sheetData>
    <row r="1" spans="1:21" x14ac:dyDescent="0.25">
      <c r="M1" s="5"/>
      <c r="N1" s="5"/>
    </row>
    <row r="2" spans="1:21" ht="15" customHeight="1" x14ac:dyDescent="0.25">
      <c r="J2" s="86">
        <v>9</v>
      </c>
      <c r="N2" s="87"/>
      <c r="O2" s="88"/>
    </row>
    <row r="3" spans="1:21" ht="15" customHeight="1" x14ac:dyDescent="0.25">
      <c r="J3">
        <f>'Výpočet mzdy'!L4</f>
        <v>2017</v>
      </c>
      <c r="N3" s="88"/>
      <c r="O3" s="88"/>
    </row>
    <row r="4" spans="1:21" ht="15" customHeight="1" x14ac:dyDescent="0.25">
      <c r="J4" t="str">
        <f>J2&amp;CHAR(10)&amp;J3</f>
        <v>9
2017</v>
      </c>
      <c r="N4" s="88"/>
      <c r="O4" s="88"/>
    </row>
    <row r="5" spans="1:21" ht="15" customHeight="1" x14ac:dyDescent="0.25">
      <c r="N5" s="88"/>
      <c r="O5" s="88"/>
    </row>
    <row r="6" spans="1:21" ht="24.95" customHeight="1" x14ac:dyDescent="0.25">
      <c r="B6" s="65"/>
      <c r="C6" s="66"/>
      <c r="D6" s="66"/>
      <c r="E6" s="68" t="s">
        <v>4</v>
      </c>
      <c r="F6" s="69"/>
      <c r="G6" s="68" t="s">
        <v>2</v>
      </c>
      <c r="H6" s="69"/>
      <c r="I6" s="42" t="s">
        <v>7</v>
      </c>
      <c r="J6" s="43" t="s">
        <v>8</v>
      </c>
      <c r="K6" s="42" t="s">
        <v>5</v>
      </c>
      <c r="L6" s="44" t="s">
        <v>32</v>
      </c>
      <c r="M6" s="2"/>
      <c r="N6" s="97"/>
    </row>
    <row r="7" spans="1:21" ht="24.95" customHeight="1" thickBot="1" x14ac:dyDescent="0.3">
      <c r="A7" s="3"/>
      <c r="B7" s="67"/>
      <c r="C7" s="66"/>
      <c r="D7" s="66"/>
      <c r="E7" s="70">
        <f>K7-IF(G7="-",0,H7)</f>
        <v>0</v>
      </c>
      <c r="F7" s="71"/>
      <c r="G7" s="107" t="str">
        <f>IF(SUMIF(G9:G39,"&lt;&gt;-",H9:H39)-SUMIF(G9:G39,"-",H9:H39)&lt;0,"-","")</f>
        <v/>
      </c>
      <c r="H7" s="108">
        <f>ABS(SUMIF(G9:G39,"&lt;&gt;-",H9:H39)-SUMIF(G9:G39,"-",H9:H39))</f>
        <v>0</v>
      </c>
      <c r="I7" s="45">
        <f>SUM(I9:I39)</f>
        <v>0</v>
      </c>
      <c r="J7" s="46">
        <f>SUM(J9:J39)</f>
        <v>0</v>
      </c>
      <c r="K7" s="45">
        <f>SUM(K9:K39)</f>
        <v>0</v>
      </c>
      <c r="L7" s="47">
        <f>SUM(L9:L39)</f>
        <v>0</v>
      </c>
      <c r="N7" s="52"/>
    </row>
    <row r="8" spans="1:21" s="4" customFormat="1" ht="20.100000000000001" customHeight="1" thickBot="1" x14ac:dyDescent="0.3">
      <c r="B8" s="37" t="s">
        <v>58</v>
      </c>
      <c r="C8" s="40" t="s">
        <v>59</v>
      </c>
      <c r="D8" s="50" t="s">
        <v>30</v>
      </c>
      <c r="E8" s="38" t="s">
        <v>0</v>
      </c>
      <c r="F8" s="39" t="s">
        <v>1</v>
      </c>
      <c r="G8" s="98" t="s">
        <v>2</v>
      </c>
      <c r="H8" s="99"/>
      <c r="I8" s="41" t="s">
        <v>7</v>
      </c>
      <c r="J8" s="41" t="s">
        <v>8</v>
      </c>
      <c r="K8" s="38" t="s">
        <v>3</v>
      </c>
      <c r="L8" s="41" t="s">
        <v>6</v>
      </c>
      <c r="N8" s="96"/>
    </row>
    <row r="9" spans="1:21" x14ac:dyDescent="0.25">
      <c r="B9" s="89">
        <f>IF(D9=WORKDAY(D9-1,1,'Výpočet mzdy'!$A$25:$A$37),COUNT($B$8:$B8)+1,"")</f>
        <v>1</v>
      </c>
      <c r="C9" s="90" t="str">
        <f>PROPER(TEXT(D9,"ddd"))</f>
        <v>Pi</v>
      </c>
      <c r="D9" s="91">
        <f>DATE(J3,J2,1)</f>
        <v>42979</v>
      </c>
      <c r="E9" s="92"/>
      <c r="F9" s="92"/>
      <c r="G9" s="105" t="str">
        <f>IF(H9="","",IF(K9-'Výpočet mzdy'!$B$10&lt;0,"-",""))</f>
        <v/>
      </c>
      <c r="H9" s="109" t="str">
        <f>IF(AND(K9&lt;&gt;"",K9&lt;&gt;0,K9&lt;&gt;'Výpočet mzdy'!$B$10),ABS(K9-'Výpočet mzdy'!$B$10),"")</f>
        <v/>
      </c>
      <c r="I9" s="93"/>
      <c r="J9" s="93" t="str">
        <f>IF(ISERROR(MATCH(D9,'Výpočet mzdy'!$A$25:$A$37,0)),"",K9)</f>
        <v/>
      </c>
      <c r="K9" s="93" t="str">
        <f>IF(OR(ISBLANK(E9),ISBLANK(F9)),"",F9-E9-'Výpočet mzdy'!$D$10)</f>
        <v/>
      </c>
      <c r="L9" s="89"/>
      <c r="N9" s="52"/>
      <c r="O9" s="85"/>
    </row>
    <row r="10" spans="1:21" x14ac:dyDescent="0.25">
      <c r="B10" s="89" t="str">
        <f>IF(D10=WORKDAY(D10-1,1,'Výpočet mzdy'!$A$25:$A$37),COUNT($B$8:$B9)+1,"")</f>
        <v/>
      </c>
      <c r="C10" s="90" t="str">
        <f t="shared" ref="C10:C36" si="0">PROPER(TEXT(D10,"ddd"))</f>
        <v>So</v>
      </c>
      <c r="D10" s="91">
        <f>D9+1</f>
        <v>42980</v>
      </c>
      <c r="E10" s="92"/>
      <c r="F10" s="92"/>
      <c r="G10" s="105" t="str">
        <f>IF(H10="","",IF(K10-'Výpočet mzdy'!$B$10&lt;0,"-",""))</f>
        <v/>
      </c>
      <c r="H10" s="109" t="str">
        <f>IF(AND(K10&lt;&gt;"",K10&lt;&gt;0,K10&lt;&gt;'Výpočet mzdy'!$B$10),ABS(K10-'Výpočet mzdy'!$B$10),"")</f>
        <v/>
      </c>
      <c r="I10" s="93"/>
      <c r="J10" s="93" t="str">
        <f>IF(ISERROR(MATCH(D10,'Výpočet mzdy'!$A$25:$A$37,0)),"",K10)</f>
        <v/>
      </c>
      <c r="K10" s="93" t="str">
        <f>IF(OR(ISBLANK(E10),ISBLANK(F10)),"",F10-E10-'Výpočet mzdy'!$D$10)</f>
        <v/>
      </c>
      <c r="L10" s="89"/>
      <c r="O10" s="85"/>
      <c r="U10" s="52"/>
    </row>
    <row r="11" spans="1:21" x14ac:dyDescent="0.25">
      <c r="B11" s="89" t="str">
        <f>IF(D11=WORKDAY(D11-1,1,'Výpočet mzdy'!$A$25:$A$37),COUNT($B$8:$B10)+1,"")</f>
        <v/>
      </c>
      <c r="C11" s="90" t="str">
        <f t="shared" si="0"/>
        <v>Ne</v>
      </c>
      <c r="D11" s="91">
        <f t="shared" ref="D11:D36" si="1">D10+1</f>
        <v>42981</v>
      </c>
      <c r="E11" s="92"/>
      <c r="F11" s="92"/>
      <c r="G11" s="105" t="str">
        <f>IF(H11="","",IF(K11-'Výpočet mzdy'!$B$10&lt;0,"-",""))</f>
        <v/>
      </c>
      <c r="H11" s="109" t="str">
        <f>IF(AND(K11&lt;&gt;"",K11&lt;&gt;0,K11&lt;&gt;'Výpočet mzdy'!$B$10),ABS(K11-'Výpočet mzdy'!$B$10),"")</f>
        <v/>
      </c>
      <c r="I11" s="93"/>
      <c r="J11" s="93" t="str">
        <f>IF(ISERROR(MATCH(D11,'Výpočet mzdy'!$A$25:$A$37,0)),"",K11)</f>
        <v/>
      </c>
      <c r="K11" s="93" t="str">
        <f>IF(OR(ISBLANK(E11),ISBLANK(F11)),"",F11-E11-'Výpočet mzdy'!$D$10)</f>
        <v/>
      </c>
      <c r="L11" s="89"/>
      <c r="N11" s="5"/>
      <c r="O11" s="85"/>
      <c r="U11" s="5"/>
    </row>
    <row r="12" spans="1:21" x14ac:dyDescent="0.25">
      <c r="B12" s="89">
        <f>IF(D12=WORKDAY(D12-1,1,'Výpočet mzdy'!$A$25:$A$37),COUNT($B$8:$B11)+1,"")</f>
        <v>2</v>
      </c>
      <c r="C12" s="90" t="str">
        <f t="shared" si="0"/>
        <v>Po</v>
      </c>
      <c r="D12" s="91">
        <f t="shared" si="1"/>
        <v>42982</v>
      </c>
      <c r="E12" s="92"/>
      <c r="F12" s="92"/>
      <c r="G12" s="105" t="str">
        <f>IF(H12="","",IF(K12-'Výpočet mzdy'!$B$10&lt;0,"-",""))</f>
        <v/>
      </c>
      <c r="H12" s="109" t="str">
        <f>IF(AND(K12&lt;&gt;"",K12&lt;&gt;0,K12&lt;&gt;'Výpočet mzdy'!$B$10),ABS(K12-'Výpočet mzdy'!$B$10),"")</f>
        <v/>
      </c>
      <c r="I12" s="93"/>
      <c r="J12" s="93" t="str">
        <f>IF(ISERROR(MATCH(D12,'Výpočet mzdy'!$A$25:$A$37,0)),"",K12)</f>
        <v/>
      </c>
      <c r="K12" s="93" t="str">
        <f>IF(OR(ISBLANK(E12),ISBLANK(F12)),"",F12-E12-'Výpočet mzdy'!$D$10)</f>
        <v/>
      </c>
      <c r="L12" s="89"/>
      <c r="O12" s="85"/>
      <c r="U12" s="52"/>
    </row>
    <row r="13" spans="1:21" x14ac:dyDescent="0.25">
      <c r="B13" s="89">
        <f>IF(D13=WORKDAY(D13-1,1,'Výpočet mzdy'!$A$25:$A$37),COUNT($B$8:$B12)+1,"")</f>
        <v>3</v>
      </c>
      <c r="C13" s="90" t="str">
        <f t="shared" si="0"/>
        <v>Ut</v>
      </c>
      <c r="D13" s="91">
        <f t="shared" si="1"/>
        <v>42983</v>
      </c>
      <c r="E13" s="93"/>
      <c r="F13" s="93"/>
      <c r="G13" s="106"/>
      <c r="H13" s="109" t="str">
        <f>IF(AND(K13&lt;&gt;"",K13&lt;&gt;0,K13&lt;&gt;'Výpočet mzdy'!$B$10),ABS(K13-'Výpočet mzdy'!$B$10),"")</f>
        <v/>
      </c>
      <c r="I13" s="93"/>
      <c r="J13" s="93" t="str">
        <f>IF(ISERROR(MATCH(D13,'Výpočet mzdy'!$A$25:$A$37,0)),"",K13)</f>
        <v/>
      </c>
      <c r="K13" s="93" t="str">
        <f>IF(OR(ISBLANK(E13),ISBLANK(F13)),"",F13-E13-'Výpočet mzdy'!$D$10)</f>
        <v/>
      </c>
      <c r="L13" s="89"/>
      <c r="O13" s="85"/>
      <c r="U13" s="52"/>
    </row>
    <row r="14" spans="1:21" x14ac:dyDescent="0.25">
      <c r="B14" s="89">
        <f>IF(D14=WORKDAY(D14-1,1,'Výpočet mzdy'!$A$25:$A$37),COUNT($B$8:$B13)+1,"")</f>
        <v>4</v>
      </c>
      <c r="C14" s="90" t="str">
        <f t="shared" si="0"/>
        <v>St</v>
      </c>
      <c r="D14" s="91">
        <f t="shared" si="1"/>
        <v>42984</v>
      </c>
      <c r="E14" s="93"/>
      <c r="F14" s="93"/>
      <c r="G14" s="106"/>
      <c r="H14" s="109" t="str">
        <f>IF(AND(K14&lt;&gt;"",K14&lt;&gt;0,K14&lt;&gt;'Výpočet mzdy'!$B$10),ABS(K14-'Výpočet mzdy'!$B$10),"")</f>
        <v/>
      </c>
      <c r="I14" s="93"/>
      <c r="J14" s="93" t="str">
        <f>IF(ISERROR(MATCH(D14,'Výpočet mzdy'!$A$25:$A$37,0)),"",K14)</f>
        <v/>
      </c>
      <c r="K14" s="93" t="str">
        <f>IF(OR(ISBLANK(E14),ISBLANK(F14)),"",F14-E14-'Výpočet mzdy'!$D$10)</f>
        <v/>
      </c>
      <c r="L14" s="89"/>
      <c r="O14" s="85"/>
      <c r="U14" s="52"/>
    </row>
    <row r="15" spans="1:21" x14ac:dyDescent="0.25">
      <c r="B15" s="89">
        <f>IF(D15=WORKDAY(D15-1,1,'Výpočet mzdy'!$A$25:$A$37),COUNT($B$8:$B14)+1,"")</f>
        <v>5</v>
      </c>
      <c r="C15" s="90" t="str">
        <f t="shared" si="0"/>
        <v>Št</v>
      </c>
      <c r="D15" s="91">
        <f t="shared" si="1"/>
        <v>42985</v>
      </c>
      <c r="E15" s="89"/>
      <c r="F15" s="93"/>
      <c r="G15" s="106"/>
      <c r="H15" s="109" t="str">
        <f>IF(AND(K15&lt;&gt;"",K15&lt;&gt;0,K15&lt;&gt;'Výpočet mzdy'!$B$10),ABS(K15-'Výpočet mzdy'!$B$10),"")</f>
        <v/>
      </c>
      <c r="I15" s="93"/>
      <c r="J15" s="93" t="str">
        <f>IF(ISERROR(MATCH(D15,'Výpočet mzdy'!$A$25:$A$37,0)),"",K15)</f>
        <v/>
      </c>
      <c r="K15" s="93" t="str">
        <f>IF(OR(ISBLANK(E15),ISBLANK(F15)),"",F15-E15-'Výpočet mzdy'!$D$10)</f>
        <v/>
      </c>
      <c r="L15" s="89"/>
      <c r="O15" s="85"/>
    </row>
    <row r="16" spans="1:21" x14ac:dyDescent="0.25">
      <c r="B16" s="89">
        <f>IF(D16=WORKDAY(D16-1,1,'Výpočet mzdy'!$A$25:$A$37),COUNT($B$8:$B15)+1,"")</f>
        <v>6</v>
      </c>
      <c r="C16" s="90" t="str">
        <f t="shared" si="0"/>
        <v>Pi</v>
      </c>
      <c r="D16" s="91">
        <f t="shared" si="1"/>
        <v>42986</v>
      </c>
      <c r="E16" s="89"/>
      <c r="F16" s="93"/>
      <c r="G16" s="106"/>
      <c r="H16" s="109" t="str">
        <f>IF(AND(K16&lt;&gt;"",K16&lt;&gt;0,K16&lt;&gt;'Výpočet mzdy'!$B$10),ABS(K16-'Výpočet mzdy'!$B$10),"")</f>
        <v/>
      </c>
      <c r="I16" s="93"/>
      <c r="J16" s="93" t="str">
        <f>IF(ISERROR(MATCH(D16,'Výpočet mzdy'!$A$25:$A$37,0)),"",K16)</f>
        <v/>
      </c>
      <c r="K16" s="93" t="str">
        <f>IF(OR(ISBLANK(E16),ISBLANK(F16)),"",F16-E16-'Výpočet mzdy'!$D$10)</f>
        <v/>
      </c>
      <c r="L16" s="89"/>
      <c r="O16" s="85"/>
    </row>
    <row r="17" spans="2:31" x14ac:dyDescent="0.25">
      <c r="B17" s="89" t="str">
        <f>IF(D17=WORKDAY(D17-1,1,'Výpočet mzdy'!$A$25:$A$37),COUNT($B$8:$B16)+1,"")</f>
        <v/>
      </c>
      <c r="C17" s="90" t="str">
        <f t="shared" si="0"/>
        <v>So</v>
      </c>
      <c r="D17" s="91">
        <f t="shared" si="1"/>
        <v>42987</v>
      </c>
      <c r="E17" s="89"/>
      <c r="F17" s="93"/>
      <c r="G17" s="106"/>
      <c r="H17" s="109" t="str">
        <f>IF(AND(K17&lt;&gt;"",K17&lt;&gt;0,K17&lt;&gt;'Výpočet mzdy'!$B$10),ABS(K17-'Výpočet mzdy'!$B$10),"")</f>
        <v/>
      </c>
      <c r="I17" s="93"/>
      <c r="J17" s="93" t="str">
        <f>IF(ISERROR(MATCH(D17,'Výpočet mzdy'!$A$25:$A$37,0)),"",K17)</f>
        <v/>
      </c>
      <c r="K17" s="93" t="str">
        <f>IF(OR(ISBLANK(E17),ISBLANK(F17)),"",F17-E17-'Výpočet mzdy'!$D$10)</f>
        <v/>
      </c>
      <c r="L17" s="89"/>
      <c r="O17" s="85"/>
    </row>
    <row r="18" spans="2:31" x14ac:dyDescent="0.25">
      <c r="B18" s="89" t="str">
        <f>IF(D18=WORKDAY(D18-1,1,'Výpočet mzdy'!$A$25:$A$37),COUNT($B$8:$B17)+1,"")</f>
        <v/>
      </c>
      <c r="C18" s="90" t="str">
        <f t="shared" si="0"/>
        <v>Ne</v>
      </c>
      <c r="D18" s="91">
        <f t="shared" si="1"/>
        <v>42988</v>
      </c>
      <c r="E18" s="89"/>
      <c r="F18" s="93"/>
      <c r="G18" s="106"/>
      <c r="H18" s="109" t="str">
        <f>IF(AND(K18&lt;&gt;"",K18&lt;&gt;0,K18&lt;&gt;'Výpočet mzdy'!$B$10),ABS(K18-'Výpočet mzdy'!$B$10),"")</f>
        <v/>
      </c>
      <c r="I18" s="93"/>
      <c r="J18" s="93" t="str">
        <f>IF(ISERROR(MATCH(D18,'Výpočet mzdy'!$A$25:$A$37,0)),"",K18)</f>
        <v/>
      </c>
      <c r="K18" s="93" t="str">
        <f>IF(OR(ISBLANK(E18),ISBLANK(F18)),"",F18-E18-'Výpočet mzdy'!$D$10)</f>
        <v/>
      </c>
      <c r="L18" s="89"/>
    </row>
    <row r="19" spans="2:31" x14ac:dyDescent="0.25">
      <c r="B19" s="89">
        <f>IF(D19=WORKDAY(D19-1,1,'Výpočet mzdy'!$A$25:$A$37),COUNT($B$8:$B18)+1,"")</f>
        <v>7</v>
      </c>
      <c r="C19" s="90" t="str">
        <f t="shared" si="0"/>
        <v>Po</v>
      </c>
      <c r="D19" s="91">
        <f t="shared" si="1"/>
        <v>42989</v>
      </c>
      <c r="E19" s="89"/>
      <c r="F19" s="93"/>
      <c r="G19" s="106"/>
      <c r="H19" s="109" t="str">
        <f>IF(AND(K19&lt;&gt;"",K19&lt;&gt;0,K19&lt;&gt;'Výpočet mzdy'!$B$10),ABS(K19-'Výpočet mzdy'!$B$10),"")</f>
        <v/>
      </c>
      <c r="I19" s="93"/>
      <c r="J19" s="93" t="str">
        <f>IF(ISERROR(MATCH(D19,'Výpočet mzdy'!$A$25:$A$37,0)),"",K19)</f>
        <v/>
      </c>
      <c r="K19" s="93" t="str">
        <f>IF(OR(ISBLANK(E19),ISBLANK(F19)),"",F19-E19-'Výpočet mzdy'!$D$10)</f>
        <v/>
      </c>
      <c r="L19" s="89"/>
    </row>
    <row r="20" spans="2:31" x14ac:dyDescent="0.25">
      <c r="B20" s="89">
        <f>IF(D20=WORKDAY(D20-1,1,'Výpočet mzdy'!$A$25:$A$37),COUNT($B$8:$B19)+1,"")</f>
        <v>8</v>
      </c>
      <c r="C20" s="90" t="str">
        <f t="shared" si="0"/>
        <v>Ut</v>
      </c>
      <c r="D20" s="91">
        <f t="shared" si="1"/>
        <v>42990</v>
      </c>
      <c r="E20" s="89"/>
      <c r="F20" s="93"/>
      <c r="G20" s="106"/>
      <c r="H20" s="109" t="str">
        <f>IF(AND(K20&lt;&gt;"",K20&lt;&gt;0,K20&lt;&gt;'Výpočet mzdy'!$B$10),ABS(K20-'Výpočet mzdy'!$B$10),"")</f>
        <v/>
      </c>
      <c r="I20" s="94"/>
      <c r="J20" s="93" t="str">
        <f>IF(ISERROR(MATCH(D20,'Výpočet mzdy'!$A$25:$A$37,0)),"",K20)</f>
        <v/>
      </c>
      <c r="K20" s="93" t="str">
        <f>IF(OR(ISBLANK(E20),ISBLANK(F20)),"",F20-E20-'Výpočet mzdy'!$D$10)</f>
        <v/>
      </c>
      <c r="L20" s="89"/>
    </row>
    <row r="21" spans="2:31" x14ac:dyDescent="0.25">
      <c r="B21" s="89">
        <f>IF(D21=WORKDAY(D21-1,1,'Výpočet mzdy'!$A$25:$A$37),COUNT($B$8:$B20)+1,"")</f>
        <v>9</v>
      </c>
      <c r="C21" s="90" t="str">
        <f t="shared" si="0"/>
        <v>St</v>
      </c>
      <c r="D21" s="91">
        <f t="shared" si="1"/>
        <v>42991</v>
      </c>
      <c r="E21" s="89"/>
      <c r="F21" s="93"/>
      <c r="G21" s="106"/>
      <c r="H21" s="109" t="str">
        <f>IF(AND(K21&lt;&gt;"",K21&lt;&gt;0,K21&lt;&gt;'Výpočet mzdy'!$B$10),ABS(K21-'Výpočet mzdy'!$B$10),"")</f>
        <v/>
      </c>
      <c r="I21" s="94"/>
      <c r="J21" s="93" t="str">
        <f>IF(ISERROR(MATCH(D21,'Výpočet mzdy'!$A$25:$A$37,0)),"",K21)</f>
        <v/>
      </c>
      <c r="K21" s="93" t="str">
        <f>IF(OR(ISBLANK(E21),ISBLANK(F21)),"",F21-E21-'Výpočet mzdy'!$D$10)</f>
        <v/>
      </c>
      <c r="L21" s="89"/>
    </row>
    <row r="22" spans="2:31" x14ac:dyDescent="0.25">
      <c r="B22" s="89">
        <f>IF(D22=WORKDAY(D22-1,1,'Výpočet mzdy'!$A$25:$A$37),COUNT($B$8:$B21)+1,"")</f>
        <v>10</v>
      </c>
      <c r="C22" s="90" t="str">
        <f t="shared" si="0"/>
        <v>Št</v>
      </c>
      <c r="D22" s="91">
        <f t="shared" si="1"/>
        <v>42992</v>
      </c>
      <c r="E22" s="89"/>
      <c r="F22" s="93"/>
      <c r="G22" s="106"/>
      <c r="H22" s="109" t="str">
        <f>IF(AND(K22&lt;&gt;"",K22&lt;&gt;0,K22&lt;&gt;'Výpočet mzdy'!$B$10),ABS(K22-'Výpočet mzdy'!$B$10),"")</f>
        <v/>
      </c>
      <c r="I22" s="94"/>
      <c r="J22" s="93" t="str">
        <f>IF(ISERROR(MATCH(D22,'Výpočet mzdy'!$A$25:$A$37,0)),"",K22)</f>
        <v/>
      </c>
      <c r="K22" s="93" t="str">
        <f>IF(OR(ISBLANK(E22),ISBLANK(F22)),"",F22-E22-'Výpočet mzdy'!$D$10)</f>
        <v/>
      </c>
      <c r="L22" s="89"/>
    </row>
    <row r="23" spans="2:31" x14ac:dyDescent="0.25">
      <c r="B23" s="89">
        <f>IF(D23=WORKDAY(D23-1,1,'Výpočet mzdy'!$A$25:$A$37),COUNT($B$8:$B22)+1,"")</f>
        <v>11</v>
      </c>
      <c r="C23" s="90" t="str">
        <f t="shared" si="0"/>
        <v>Pi</v>
      </c>
      <c r="D23" s="91">
        <f t="shared" si="1"/>
        <v>42993</v>
      </c>
      <c r="E23" s="89"/>
      <c r="F23" s="93"/>
      <c r="G23" s="106"/>
      <c r="H23" s="109" t="str">
        <f>IF(AND(K23&lt;&gt;"",K23&lt;&gt;0,K23&lt;&gt;'Výpočet mzdy'!$B$10),ABS(K23-'Výpočet mzdy'!$B$10),"")</f>
        <v/>
      </c>
      <c r="I23" s="94"/>
      <c r="J23" s="93" t="str">
        <f>IF(ISERROR(MATCH(D23,'Výpočet mzdy'!$A$25:$A$37,0)),"",K23)</f>
        <v/>
      </c>
      <c r="K23" s="93" t="str">
        <f>IF(OR(ISBLANK(E23),ISBLANK(F23)),"",F23-E23-'Výpočet mzdy'!$D$10)</f>
        <v/>
      </c>
      <c r="L23" s="89"/>
    </row>
    <row r="24" spans="2:31" x14ac:dyDescent="0.25">
      <c r="B24" s="89" t="str">
        <f>IF(D24=WORKDAY(D24-1,1,'Výpočet mzdy'!$A$25:$A$37),COUNT($B$8:$B23)+1,"")</f>
        <v/>
      </c>
      <c r="C24" s="90" t="str">
        <f t="shared" si="0"/>
        <v>So</v>
      </c>
      <c r="D24" s="91">
        <f t="shared" si="1"/>
        <v>42994</v>
      </c>
      <c r="E24" s="89"/>
      <c r="F24" s="93"/>
      <c r="G24" s="106"/>
      <c r="H24" s="109" t="str">
        <f>IF(AND(K24&lt;&gt;"",K24&lt;&gt;0,K24&lt;&gt;'Výpočet mzdy'!$B$10),ABS(K24-'Výpočet mzdy'!$B$10),"")</f>
        <v/>
      </c>
      <c r="I24" s="93"/>
      <c r="J24" s="93" t="str">
        <f>IF(ISERROR(MATCH(D24,'Výpočet mzdy'!$A$25:$A$37,0)),"",K24)</f>
        <v/>
      </c>
      <c r="K24" s="93" t="str">
        <f>IF(OR(ISBLANK(E24),ISBLANK(F24)),"",F24-E24-'Výpočet mzdy'!$D$10)</f>
        <v/>
      </c>
      <c r="L24" s="89"/>
      <c r="X24" s="33"/>
      <c r="Y24" s="34"/>
    </row>
    <row r="25" spans="2:31" x14ac:dyDescent="0.25">
      <c r="B25" s="89" t="str">
        <f>IF(D25=WORKDAY(D25-1,1,'Výpočet mzdy'!$A$25:$A$37),COUNT($B$8:$B24)+1,"")</f>
        <v/>
      </c>
      <c r="C25" s="90" t="str">
        <f t="shared" si="0"/>
        <v>Ne</v>
      </c>
      <c r="D25" s="91">
        <f t="shared" si="1"/>
        <v>42995</v>
      </c>
      <c r="E25" s="89"/>
      <c r="F25" s="93"/>
      <c r="G25" s="106"/>
      <c r="H25" s="109" t="str">
        <f>IF(AND(K25&lt;&gt;"",K25&lt;&gt;0,K25&lt;&gt;'Výpočet mzdy'!$B$10),ABS(K25-'Výpočet mzdy'!$B$10),"")</f>
        <v/>
      </c>
      <c r="I25" s="93"/>
      <c r="J25" s="93" t="str">
        <f>IF(ISERROR(MATCH(D25,'Výpočet mzdy'!$A$25:$A$37,0)),"",K25)</f>
        <v/>
      </c>
      <c r="K25" s="93" t="str">
        <f>IF(OR(ISBLANK(E25),ISBLANK(F25)),"",F25-E25-'Výpočet mzdy'!$D$10)</f>
        <v/>
      </c>
      <c r="L25" s="89"/>
      <c r="X25" s="33"/>
      <c r="Y25" s="34"/>
    </row>
    <row r="26" spans="2:31" x14ac:dyDescent="0.25">
      <c r="B26" s="89">
        <f>IF(D26=WORKDAY(D26-1,1,'Výpočet mzdy'!$A$25:$A$37),COUNT($B$8:$B25)+1,"")</f>
        <v>12</v>
      </c>
      <c r="C26" s="90" t="str">
        <f t="shared" si="0"/>
        <v>Po</v>
      </c>
      <c r="D26" s="91">
        <f t="shared" si="1"/>
        <v>42996</v>
      </c>
      <c r="E26" s="89"/>
      <c r="F26" s="93"/>
      <c r="G26" s="106"/>
      <c r="H26" s="109" t="str">
        <f>IF(AND(K26&lt;&gt;"",K26&lt;&gt;0,K26&lt;&gt;'Výpočet mzdy'!$B$10),ABS(K26-'Výpočet mzdy'!$B$10),"")</f>
        <v/>
      </c>
      <c r="I26" s="93"/>
      <c r="J26" s="93" t="str">
        <f>IF(ISERROR(MATCH(D26,'Výpočet mzdy'!$A$25:$A$37,0)),"",K26)</f>
        <v/>
      </c>
      <c r="K26" s="93" t="str">
        <f>IF(OR(ISBLANK(E26),ISBLANK(F26)),"",F26-E26-'Výpočet mzdy'!$D$10)</f>
        <v/>
      </c>
      <c r="L26" s="89"/>
      <c r="X26" s="33"/>
      <c r="Y26" s="34"/>
    </row>
    <row r="27" spans="2:31" x14ac:dyDescent="0.25">
      <c r="B27" s="89">
        <f>IF(D27=WORKDAY(D27-1,1,'Výpočet mzdy'!$A$25:$A$37),COUNT($B$8:$B26)+1,"")</f>
        <v>13</v>
      </c>
      <c r="C27" s="90" t="str">
        <f t="shared" si="0"/>
        <v>Ut</v>
      </c>
      <c r="D27" s="91">
        <f t="shared" si="1"/>
        <v>42997</v>
      </c>
      <c r="E27" s="89"/>
      <c r="F27" s="93"/>
      <c r="G27" s="106"/>
      <c r="H27" s="109" t="str">
        <f>IF(AND(K27&lt;&gt;"",K27&lt;&gt;0,K27&lt;&gt;'Výpočet mzdy'!$B$10),ABS(K27-'Výpočet mzdy'!$B$10),"")</f>
        <v/>
      </c>
      <c r="I27" s="93"/>
      <c r="J27" s="93" t="str">
        <f>IF(ISERROR(MATCH(D27,'Výpočet mzdy'!$A$25:$A$37,0)),"",K27)</f>
        <v/>
      </c>
      <c r="K27" s="93" t="str">
        <f>IF(OR(ISBLANK(E27),ISBLANK(F27)),"",F27-E27-'Výpočet mzdy'!$D$10)</f>
        <v/>
      </c>
      <c r="L27" s="89"/>
      <c r="X27" s="33"/>
      <c r="Y27" s="34"/>
    </row>
    <row r="28" spans="2:31" x14ac:dyDescent="0.25">
      <c r="B28" s="89">
        <f>IF(D28=WORKDAY(D28-1,1,'Výpočet mzdy'!$A$25:$A$37),COUNT($B$8:$B27)+1,"")</f>
        <v>14</v>
      </c>
      <c r="C28" s="90" t="str">
        <f t="shared" si="0"/>
        <v>St</v>
      </c>
      <c r="D28" s="91">
        <f t="shared" si="1"/>
        <v>42998</v>
      </c>
      <c r="E28" s="89"/>
      <c r="F28" s="93"/>
      <c r="G28" s="106"/>
      <c r="H28" s="109" t="str">
        <f>IF(AND(K28&lt;&gt;"",K28&lt;&gt;0,K28&lt;&gt;'Výpočet mzdy'!$B$10),ABS(K28-'Výpočet mzdy'!$B$10),"")</f>
        <v/>
      </c>
      <c r="I28" s="93"/>
      <c r="J28" s="93" t="str">
        <f>IF(ISERROR(MATCH(D28,'Výpočet mzdy'!$A$25:$A$37,0)),"",K28)</f>
        <v/>
      </c>
      <c r="K28" s="93" t="str">
        <f>IF(OR(ISBLANK(E28),ISBLANK(F28)),"",F28-E28-'Výpočet mzdy'!$D$10)</f>
        <v/>
      </c>
      <c r="L28" s="89"/>
      <c r="X28" s="33"/>
      <c r="Y28" s="34"/>
    </row>
    <row r="29" spans="2:31" x14ac:dyDescent="0.25">
      <c r="B29" s="89">
        <f>IF(D29=WORKDAY(D29-1,1,'Výpočet mzdy'!$A$25:$A$37),COUNT($B$8:$B28)+1,"")</f>
        <v>15</v>
      </c>
      <c r="C29" s="90" t="str">
        <f t="shared" si="0"/>
        <v>Št</v>
      </c>
      <c r="D29" s="91">
        <f t="shared" si="1"/>
        <v>42999</v>
      </c>
      <c r="E29" s="89"/>
      <c r="F29" s="93"/>
      <c r="G29" s="106"/>
      <c r="H29" s="109" t="str">
        <f>IF(AND(K29&lt;&gt;"",K29&lt;&gt;0,K29&lt;&gt;'Výpočet mzdy'!$B$10),ABS(K29-'Výpočet mzdy'!$B$10),"")</f>
        <v/>
      </c>
      <c r="I29" s="93"/>
      <c r="J29" s="93" t="str">
        <f>IF(ISERROR(MATCH(D29,'Výpočet mzdy'!$A$25:$A$37,0)),"",K29)</f>
        <v/>
      </c>
      <c r="K29" s="93" t="str">
        <f>IF(OR(ISBLANK(E29),ISBLANK(F29)),"",F29-E29-'Výpočet mzdy'!$D$10)</f>
        <v/>
      </c>
      <c r="L29" s="89"/>
      <c r="V29" s="3"/>
      <c r="W29" s="3"/>
      <c r="X29" s="21"/>
      <c r="Y29" s="59"/>
      <c r="Z29" s="3"/>
      <c r="AA29" s="3"/>
      <c r="AB29" s="3"/>
      <c r="AC29" s="3"/>
      <c r="AD29" s="3"/>
      <c r="AE29" s="3"/>
    </row>
    <row r="30" spans="2:31" x14ac:dyDescent="0.25">
      <c r="B30" s="89">
        <f>IF(D30=WORKDAY(D30-1,1,'Výpočet mzdy'!$A$25:$A$37),COUNT($B$8:$B29)+1,"")</f>
        <v>16</v>
      </c>
      <c r="C30" s="90" t="str">
        <f t="shared" si="0"/>
        <v>Pi</v>
      </c>
      <c r="D30" s="91">
        <f t="shared" si="1"/>
        <v>43000</v>
      </c>
      <c r="E30" s="89"/>
      <c r="F30" s="93"/>
      <c r="G30" s="106"/>
      <c r="H30" s="109" t="str">
        <f>IF(AND(K30&lt;&gt;"",K30&lt;&gt;0,K30&lt;&gt;'Výpočet mzdy'!$B$10),ABS(K30-'Výpočet mzdy'!$B$10),"")</f>
        <v/>
      </c>
      <c r="I30" s="93"/>
      <c r="J30" s="93" t="str">
        <f>IF(ISERROR(MATCH(D30,'Výpočet mzdy'!$A$25:$A$37,0)),"",K30)</f>
        <v/>
      </c>
      <c r="K30" s="93" t="str">
        <f>IF(OR(ISBLANK(E30),ISBLANK(F30)),"",F30-E30-'Výpočet mzdy'!$D$10)</f>
        <v/>
      </c>
      <c r="L30" s="89"/>
      <c r="V30" s="3"/>
      <c r="W30" s="3"/>
      <c r="X30" s="21"/>
      <c r="Y30" s="59"/>
      <c r="Z30" s="3"/>
      <c r="AA30" s="3"/>
      <c r="AB30" s="3"/>
      <c r="AC30" s="3"/>
      <c r="AD30" s="3"/>
      <c r="AE30" s="3"/>
    </row>
    <row r="31" spans="2:31" x14ac:dyDescent="0.25">
      <c r="B31" s="89" t="str">
        <f>IF(D31=WORKDAY(D31-1,1,'Výpočet mzdy'!$A$25:$A$37),COUNT($B$8:$B30)+1,"")</f>
        <v/>
      </c>
      <c r="C31" s="90" t="str">
        <f t="shared" si="0"/>
        <v>So</v>
      </c>
      <c r="D31" s="91">
        <f t="shared" si="1"/>
        <v>43001</v>
      </c>
      <c r="E31" s="89"/>
      <c r="F31" s="93"/>
      <c r="G31" s="106"/>
      <c r="H31" s="109" t="str">
        <f>IF(AND(K31&lt;&gt;"",K31&lt;&gt;0,K31&lt;&gt;'Výpočet mzdy'!$B$10),ABS(K31-'Výpočet mzdy'!$B$10),"")</f>
        <v/>
      </c>
      <c r="I31" s="93"/>
      <c r="J31" s="93" t="str">
        <f>IF(ISERROR(MATCH(D31,'Výpočet mzdy'!$A$25:$A$37,0)),"",K31)</f>
        <v/>
      </c>
      <c r="K31" s="93" t="str">
        <f>IF(OR(ISBLANK(E31),ISBLANK(F31)),"",F31-E31-'Výpočet mzdy'!$D$10)</f>
        <v/>
      </c>
      <c r="L31" s="89"/>
      <c r="V31" s="3"/>
      <c r="W31" s="3"/>
      <c r="X31" s="21"/>
      <c r="Y31" s="59"/>
      <c r="Z31" s="3"/>
      <c r="AA31" s="3"/>
      <c r="AB31" s="3"/>
      <c r="AC31" s="3"/>
      <c r="AD31" s="3"/>
      <c r="AE31" s="3"/>
    </row>
    <row r="32" spans="2:31" x14ac:dyDescent="0.25">
      <c r="B32" s="89" t="str">
        <f>IF(D32=WORKDAY(D32-1,1,'Výpočet mzdy'!$A$25:$A$37),COUNT($B$8:$B31)+1,"")</f>
        <v/>
      </c>
      <c r="C32" s="90" t="str">
        <f t="shared" si="0"/>
        <v>Ne</v>
      </c>
      <c r="D32" s="91">
        <f t="shared" si="1"/>
        <v>43002</v>
      </c>
      <c r="E32" s="89"/>
      <c r="F32" s="93"/>
      <c r="G32" s="106"/>
      <c r="H32" s="109" t="str">
        <f>IF(AND(K32&lt;&gt;"",K32&lt;&gt;0,K32&lt;&gt;'Výpočet mzdy'!$B$10),ABS(K32-'Výpočet mzdy'!$B$10),"")</f>
        <v/>
      </c>
      <c r="I32" s="93"/>
      <c r="J32" s="93" t="str">
        <f>IF(ISERROR(MATCH(D32,'Výpočet mzdy'!$A$25:$A$37,0)),"",K32)</f>
        <v/>
      </c>
      <c r="K32" s="93" t="str">
        <f>IF(OR(ISBLANK(E32),ISBLANK(F32)),"",F32-E32-'Výpočet mzdy'!$D$10)</f>
        <v/>
      </c>
      <c r="L32" s="89"/>
      <c r="V32" s="3"/>
      <c r="W32" s="3"/>
      <c r="X32" s="21"/>
      <c r="Y32" s="59"/>
      <c r="Z32" s="3"/>
      <c r="AA32" s="3"/>
      <c r="AB32" s="3"/>
      <c r="AC32" s="3"/>
      <c r="AD32" s="3"/>
      <c r="AE32" s="3"/>
    </row>
    <row r="33" spans="2:31" x14ac:dyDescent="0.25">
      <c r="B33" s="89">
        <f>IF(D33=WORKDAY(D33-1,1,'Výpočet mzdy'!$A$25:$A$37),COUNT($B$8:$B32)+1,"")</f>
        <v>17</v>
      </c>
      <c r="C33" s="90" t="str">
        <f t="shared" si="0"/>
        <v>Po</v>
      </c>
      <c r="D33" s="91">
        <f t="shared" si="1"/>
        <v>43003</v>
      </c>
      <c r="E33" s="89"/>
      <c r="F33" s="93"/>
      <c r="G33" s="106"/>
      <c r="H33" s="109" t="str">
        <f>IF(AND(K33&lt;&gt;"",K33&lt;&gt;0,K33&lt;&gt;'Výpočet mzdy'!$B$10),ABS(K33-'Výpočet mzdy'!$B$10),"")</f>
        <v/>
      </c>
      <c r="I33" s="93"/>
      <c r="J33" s="93" t="str">
        <f>IF(ISERROR(MATCH(D33,'Výpočet mzdy'!$A$25:$A$37,0)),"",K33)</f>
        <v/>
      </c>
      <c r="K33" s="93" t="str">
        <f>IF(OR(ISBLANK(E33),ISBLANK(F33)),"",F33-E33-'Výpočet mzdy'!$D$10)</f>
        <v/>
      </c>
      <c r="L33" s="89"/>
      <c r="V33" s="3"/>
      <c r="W33" s="3"/>
      <c r="X33" s="21"/>
      <c r="Y33" s="59"/>
      <c r="Z33" s="3"/>
      <c r="AA33" s="3"/>
      <c r="AB33" s="3"/>
      <c r="AC33" s="3"/>
      <c r="AD33" s="3"/>
      <c r="AE33" s="3"/>
    </row>
    <row r="34" spans="2:31" x14ac:dyDescent="0.25">
      <c r="B34" s="89">
        <f>IF(D34=WORKDAY(D34-1,1,'Výpočet mzdy'!$A$25:$A$37),COUNT($B$8:$B33)+1,"")</f>
        <v>18</v>
      </c>
      <c r="C34" s="90" t="str">
        <f t="shared" si="0"/>
        <v>Ut</v>
      </c>
      <c r="D34" s="91">
        <f t="shared" si="1"/>
        <v>43004</v>
      </c>
      <c r="E34" s="89"/>
      <c r="F34" s="93"/>
      <c r="G34" s="106"/>
      <c r="H34" s="109" t="str">
        <f>IF(AND(K34&lt;&gt;"",K34&lt;&gt;0,K34&lt;&gt;'Výpočet mzdy'!$B$10),ABS(K34-'Výpočet mzdy'!$B$10),"")</f>
        <v/>
      </c>
      <c r="I34" s="93"/>
      <c r="J34" s="93" t="str">
        <f>IF(ISERROR(MATCH(D34,'Výpočet mzdy'!$A$25:$A$37,0)),"",K34)</f>
        <v/>
      </c>
      <c r="K34" s="93" t="str">
        <f>IF(OR(ISBLANK(E34),ISBLANK(F34)),"",F34-E34-'Výpočet mzdy'!$D$10)</f>
        <v/>
      </c>
      <c r="L34" s="89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5">
      <c r="B35" s="89">
        <f>IF(D35=WORKDAY(D35-1,1,'Výpočet mzdy'!$A$25:$A$37),COUNT($B$8:$B34)+1,"")</f>
        <v>19</v>
      </c>
      <c r="C35" s="90" t="str">
        <f t="shared" si="0"/>
        <v>St</v>
      </c>
      <c r="D35" s="91">
        <f t="shared" si="1"/>
        <v>43005</v>
      </c>
      <c r="E35" s="89"/>
      <c r="F35" s="93"/>
      <c r="G35" s="106"/>
      <c r="H35" s="109" t="str">
        <f>IF(AND(K35&lt;&gt;"",K35&lt;&gt;0,K35&lt;&gt;'Výpočet mzdy'!$B$10),ABS(K35-'Výpočet mzdy'!$B$10),"")</f>
        <v/>
      </c>
      <c r="I35" s="93"/>
      <c r="J35" s="93" t="str">
        <f>IF(ISERROR(MATCH(D35,'Výpočet mzdy'!$A$25:$A$37,0)),"",K35)</f>
        <v/>
      </c>
      <c r="K35" s="93" t="str">
        <f>IF(OR(ISBLANK(E35),ISBLANK(F35)),"",F35-E35-'Výpočet mzdy'!$D$10)</f>
        <v/>
      </c>
      <c r="L35" s="89"/>
      <c r="N35" s="9"/>
      <c r="O35" s="9"/>
      <c r="P35" s="9"/>
      <c r="Q35" s="9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5">
      <c r="B36" s="89" t="str">
        <f>IF(D36=WORKDAY(D36-1,1,'Výpočet mzdy'!$A$25:$A$37),COUNT($B$8:$B35)+1,"")</f>
        <v/>
      </c>
      <c r="C36" s="90" t="str">
        <f t="shared" si="0"/>
        <v>Št</v>
      </c>
      <c r="D36" s="91">
        <f t="shared" si="1"/>
        <v>43006</v>
      </c>
      <c r="E36" s="89"/>
      <c r="F36" s="93"/>
      <c r="G36" s="106"/>
      <c r="H36" s="109" t="str">
        <f>IF(AND(K36&lt;&gt;"",K36&lt;&gt;0,K36&lt;&gt;'Výpočet mzdy'!$B$10),ABS(K36-'Výpočet mzdy'!$B$10),"")</f>
        <v/>
      </c>
      <c r="I36" s="93"/>
      <c r="J36" s="93" t="str">
        <f>IF(ISERROR(MATCH(D36,'Výpočet mzdy'!$A$25:$A$37,0)),"",K36)</f>
        <v/>
      </c>
      <c r="K36" s="93" t="str">
        <f>IF(OR(ISBLANK(E36),ISBLANK(F36)),"",F36-E36-'Výpočet mzdy'!$D$10)</f>
        <v/>
      </c>
      <c r="L36" s="89"/>
      <c r="N36" s="9"/>
      <c r="O36" s="9"/>
      <c r="P36" s="9"/>
      <c r="Q36" s="9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ht="15" customHeight="1" x14ac:dyDescent="0.25">
      <c r="B37" s="89">
        <f>IF(D37="","",IF(D37=WORKDAY(D37-1,1,'Výpočet mzdy'!$A$25:$A$37),COUNT($B$8:$B36)+1,""))</f>
        <v>20</v>
      </c>
      <c r="C37" s="90" t="str">
        <f>IF(D37="","",PROPER(TEXT(D37,"ddd")))</f>
        <v>Pi</v>
      </c>
      <c r="D37" s="91">
        <f>IF(MONTH(D36+1)=MONTH(D36),D36+1,"")</f>
        <v>43007</v>
      </c>
      <c r="E37" s="89"/>
      <c r="F37" s="93"/>
      <c r="G37" s="106"/>
      <c r="H37" s="109" t="str">
        <f>IF(AND(K37&lt;&gt;"",K37&lt;&gt;0,K37&lt;&gt;'Výpočet mzdy'!$B$10),ABS(K37-'Výpočet mzdy'!$B$10),"")</f>
        <v/>
      </c>
      <c r="I37" s="93"/>
      <c r="J37" s="93" t="str">
        <f>IF(ISERROR(MATCH(D37,'Výpočet mzdy'!$A$25:$A$37,0)),"",K37)</f>
        <v/>
      </c>
      <c r="K37" s="93" t="str">
        <f>IF(OR(ISBLANK(E37),ISBLANK(F37)),"",F37-E37-'Výpočet mzdy'!$D$10)</f>
        <v/>
      </c>
      <c r="L37" s="89"/>
      <c r="N37" s="9"/>
      <c r="V37" s="3"/>
      <c r="W37" s="3"/>
      <c r="X37" s="72"/>
      <c r="Y37" s="73"/>
      <c r="Z37" s="58"/>
      <c r="AA37" s="60"/>
      <c r="AB37" s="59"/>
      <c r="AC37" s="59"/>
      <c r="AD37" s="59"/>
      <c r="AE37" s="3"/>
    </row>
    <row r="38" spans="2:31" ht="15" customHeight="1" x14ac:dyDescent="0.25">
      <c r="B38" s="89" t="str">
        <f>IF(D38="","",IF(D38=WORKDAY(D38-1,1,'Výpočet mzdy'!$A$25:$A$37),COUNT($B$8:$B37)+1,""))</f>
        <v/>
      </c>
      <c r="C38" s="90" t="str">
        <f t="shared" ref="C38:C39" si="2">IF(D38="","",PROPER(TEXT(D38,"ddd")))</f>
        <v>So</v>
      </c>
      <c r="D38" s="91">
        <f>IF(D37="","",IF(MONTH(D37+1)=MONTH(D37),D37+1,""))</f>
        <v>43008</v>
      </c>
      <c r="E38" s="89"/>
      <c r="F38" s="93"/>
      <c r="G38" s="106"/>
      <c r="H38" s="109" t="str">
        <f>IF(AND(K38&lt;&gt;"",K38&lt;&gt;0,K38&lt;&gt;'Výpočet mzdy'!$B$10),ABS(K38-'Výpočet mzdy'!$B$10),"")</f>
        <v/>
      </c>
      <c r="I38" s="93"/>
      <c r="J38" s="93" t="str">
        <f>IF(ISERROR(MATCH(D38,'Výpočet mzdy'!$A$25:$A$37,0)),"",K38)</f>
        <v/>
      </c>
      <c r="K38" s="93" t="str">
        <f>IF(OR(ISBLANK(E38),ISBLANK(F38)),"",F38-E38-'Výpočet mzdy'!$D$10)</f>
        <v/>
      </c>
      <c r="L38" s="89"/>
      <c r="N38" s="9"/>
      <c r="V38" s="3"/>
      <c r="W38" s="3"/>
      <c r="X38" s="73"/>
      <c r="Y38" s="73"/>
      <c r="Z38" s="58"/>
      <c r="AA38" s="61"/>
      <c r="AB38" s="54"/>
      <c r="AC38" s="54"/>
      <c r="AD38" s="54"/>
      <c r="AE38" s="3"/>
    </row>
    <row r="39" spans="2:31" x14ac:dyDescent="0.25">
      <c r="B39" s="89" t="str">
        <f>IF(D39="","",IF(D39=WORKDAY(D39-1,1,'Výpočet mzdy'!$A$25:$A$37),COUNT($B$8:$B38)+1,""))</f>
        <v/>
      </c>
      <c r="C39" s="90" t="str">
        <f t="shared" si="2"/>
        <v/>
      </c>
      <c r="D39" s="91" t="str">
        <f>IF(D38="","",IF(MONTH(D38+1)=MONTH(D38),D38+1,""))</f>
        <v/>
      </c>
      <c r="E39" s="89"/>
      <c r="F39" s="93"/>
      <c r="G39" s="106"/>
      <c r="H39" s="109" t="str">
        <f>IF(AND(K39&lt;&gt;"",K39&lt;&gt;0,K39&lt;&gt;'Výpočet mzdy'!$B$10),ABS(K39-'Výpočet mzdy'!$B$10),"")</f>
        <v/>
      </c>
      <c r="I39" s="93"/>
      <c r="J39" s="93" t="str">
        <f>IF(ISERROR(MATCH(D39,'Výpočet mzdy'!$A$25:$A$37,0)),"",K39)</f>
        <v/>
      </c>
      <c r="K39" s="93" t="str">
        <f>IF(OR(ISBLANK(E39),ISBLANK(F39)),"",F39-E39-'Výpočet mzdy'!$D$10)</f>
        <v/>
      </c>
      <c r="L39" s="95"/>
      <c r="V39" s="3"/>
      <c r="W39" s="3"/>
      <c r="X39" s="21"/>
      <c r="Y39" s="55"/>
      <c r="Z39" s="59"/>
      <c r="AA39" s="21"/>
      <c r="AB39" s="27"/>
      <c r="AC39" s="28"/>
      <c r="AD39" s="56"/>
      <c r="AE39" s="3"/>
    </row>
    <row r="40" spans="2:31" x14ac:dyDescent="0.25">
      <c r="B40" s="7"/>
      <c r="C40" s="7"/>
      <c r="D40" s="51"/>
      <c r="E40" s="7"/>
      <c r="F40" s="8"/>
      <c r="G40" s="101"/>
      <c r="H40" s="104"/>
      <c r="I40" s="8"/>
      <c r="J40" s="1"/>
      <c r="K40" s="6"/>
      <c r="V40" s="3"/>
      <c r="W40" s="3"/>
      <c r="X40" s="21"/>
      <c r="Y40" s="55"/>
      <c r="Z40" s="59"/>
      <c r="AA40" s="21"/>
      <c r="AB40" s="27"/>
      <c r="AC40" s="28"/>
      <c r="AD40" s="56"/>
      <c r="AE40" s="3"/>
    </row>
    <row r="41" spans="2:31" x14ac:dyDescent="0.25">
      <c r="B41" s="7"/>
      <c r="C41" s="7"/>
      <c r="D41" s="51"/>
      <c r="E41" s="7"/>
      <c r="F41" s="8"/>
      <c r="G41" s="101"/>
      <c r="H41" s="104"/>
      <c r="I41" s="8"/>
      <c r="J41" s="1"/>
      <c r="K41" s="6"/>
      <c r="V41" s="3"/>
      <c r="W41" s="3"/>
      <c r="X41" s="21"/>
      <c r="Y41" s="55"/>
      <c r="Z41" s="59"/>
      <c r="AA41" s="21"/>
      <c r="AB41" s="27"/>
      <c r="AC41" s="28"/>
      <c r="AD41" s="56"/>
      <c r="AE41" s="3"/>
    </row>
    <row r="42" spans="2:31" x14ac:dyDescent="0.25">
      <c r="B42" s="9"/>
      <c r="C42" s="9"/>
      <c r="I42" s="3"/>
      <c r="J42" s="3"/>
      <c r="K42" s="3"/>
      <c r="L42" s="110"/>
      <c r="M42" s="48"/>
      <c r="V42" s="3"/>
      <c r="W42" s="3"/>
      <c r="X42" s="21"/>
      <c r="Y42" s="55"/>
      <c r="Z42" s="59"/>
      <c r="AA42" s="21"/>
      <c r="AB42" s="36"/>
      <c r="AC42" s="28"/>
      <c r="AD42" s="56"/>
      <c r="AE42" s="3"/>
    </row>
    <row r="43" spans="2:31" x14ac:dyDescent="0.25">
      <c r="B43" s="9"/>
      <c r="C43" s="9"/>
      <c r="I43" s="3"/>
      <c r="J43" s="3"/>
      <c r="K43" s="3"/>
      <c r="L43" s="110"/>
      <c r="V43" s="3"/>
      <c r="W43" s="3"/>
      <c r="X43" s="21"/>
      <c r="Y43" s="55"/>
      <c r="Z43" s="59"/>
      <c r="AA43" s="21"/>
      <c r="AB43" s="30"/>
      <c r="AC43" s="28"/>
      <c r="AD43" s="56"/>
      <c r="AE43" s="3"/>
    </row>
    <row r="44" spans="2:31" x14ac:dyDescent="0.25">
      <c r="B44" s="9"/>
      <c r="C44" s="9"/>
      <c r="E44" s="3"/>
      <c r="F44" s="3"/>
      <c r="G44" s="102"/>
      <c r="I44" s="3"/>
      <c r="J44" s="3"/>
      <c r="K44" s="3"/>
      <c r="L44" s="110"/>
      <c r="V44" s="3"/>
      <c r="W44" s="3"/>
      <c r="X44" s="21"/>
      <c r="Y44" s="55"/>
      <c r="Z44" s="59"/>
      <c r="AA44" s="21"/>
      <c r="AB44" s="30"/>
      <c r="AC44" s="28"/>
      <c r="AD44" s="56"/>
      <c r="AE44" s="3"/>
    </row>
    <row r="45" spans="2:31" ht="15.75" customHeight="1" x14ac:dyDescent="0.25">
      <c r="B45" s="9"/>
      <c r="C45" s="9"/>
      <c r="E45" s="21"/>
      <c r="F45" s="3"/>
      <c r="G45" s="102"/>
      <c r="I45" s="3"/>
      <c r="J45" s="21"/>
      <c r="K45" s="3"/>
      <c r="L45" s="110"/>
      <c r="V45" s="3"/>
      <c r="W45" s="3"/>
      <c r="X45" s="62"/>
      <c r="Y45" s="64"/>
      <c r="Z45" s="59"/>
      <c r="AA45" s="21"/>
      <c r="AB45" s="28"/>
      <c r="AC45" s="28"/>
      <c r="AD45" s="56"/>
      <c r="AE45" s="3"/>
    </row>
    <row r="46" spans="2:31" ht="15.75" customHeight="1" x14ac:dyDescent="0.25">
      <c r="E46" s="21"/>
      <c r="F46" s="3"/>
      <c r="G46" s="102"/>
      <c r="I46" s="3"/>
      <c r="J46" s="21"/>
      <c r="K46" s="3"/>
      <c r="L46" s="110"/>
      <c r="V46" s="3"/>
      <c r="W46" s="3"/>
      <c r="X46" s="63"/>
      <c r="Y46" s="63"/>
      <c r="Z46" s="59"/>
      <c r="AA46" s="59"/>
      <c r="AB46" s="57"/>
      <c r="AC46" s="57"/>
      <c r="AD46" s="57"/>
      <c r="AE46" s="3"/>
    </row>
    <row r="47" spans="2:31" x14ac:dyDescent="0.25">
      <c r="E47" s="21"/>
      <c r="F47" s="3"/>
      <c r="G47" s="102"/>
      <c r="I47" s="3"/>
      <c r="J47" s="21"/>
      <c r="K47" s="3"/>
      <c r="L47" s="110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2:31" x14ac:dyDescent="0.25">
      <c r="E48" s="21"/>
      <c r="F48" s="3"/>
      <c r="G48" s="102"/>
      <c r="I48" s="3"/>
      <c r="J48" s="21"/>
      <c r="K48" s="3"/>
      <c r="L48" s="110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5:12" x14ac:dyDescent="0.25">
      <c r="E49" s="21"/>
      <c r="F49" s="3"/>
      <c r="G49" s="102"/>
      <c r="I49" s="3"/>
      <c r="J49" s="21"/>
      <c r="K49" s="3"/>
      <c r="L49" s="110"/>
    </row>
    <row r="50" spans="5:12" x14ac:dyDescent="0.25">
      <c r="E50" s="21"/>
      <c r="F50" s="3"/>
      <c r="G50" s="102"/>
      <c r="I50" s="3"/>
      <c r="J50" s="21"/>
      <c r="K50" s="3"/>
      <c r="L50" s="110"/>
    </row>
    <row r="51" spans="5:12" x14ac:dyDescent="0.25">
      <c r="E51" s="3"/>
      <c r="F51" s="3"/>
      <c r="G51" s="102"/>
      <c r="I51" s="3"/>
      <c r="J51" s="21"/>
      <c r="K51" s="3"/>
      <c r="L51" s="110"/>
    </row>
    <row r="52" spans="5:12" x14ac:dyDescent="0.25">
      <c r="E52" s="3"/>
      <c r="F52" s="3"/>
      <c r="G52" s="102"/>
      <c r="I52" s="3"/>
      <c r="J52" s="3"/>
      <c r="K52" s="3"/>
      <c r="L52" s="110"/>
    </row>
    <row r="53" spans="5:12" ht="15" customHeight="1" x14ac:dyDescent="0.25">
      <c r="I53" s="3"/>
      <c r="J53" s="3"/>
      <c r="K53" s="3"/>
      <c r="L53" s="110"/>
    </row>
    <row r="54" spans="5:12" x14ac:dyDescent="0.25">
      <c r="I54" s="3"/>
      <c r="J54" s="3"/>
      <c r="K54" s="3"/>
      <c r="L54" s="110"/>
    </row>
    <row r="55" spans="5:12" x14ac:dyDescent="0.25">
      <c r="I55" s="3"/>
      <c r="J55" s="3"/>
      <c r="K55" s="3"/>
      <c r="L55" s="110"/>
    </row>
    <row r="56" spans="5:12" x14ac:dyDescent="0.25">
      <c r="I56" s="3"/>
      <c r="J56" s="3"/>
      <c r="K56" s="3"/>
      <c r="L56" s="110"/>
    </row>
    <row r="57" spans="5:12" x14ac:dyDescent="0.25">
      <c r="I57" s="3"/>
      <c r="J57" s="3"/>
      <c r="K57" s="3"/>
      <c r="L57" s="110"/>
    </row>
    <row r="58" spans="5:12" x14ac:dyDescent="0.25">
      <c r="I58" s="3"/>
      <c r="J58" s="3"/>
      <c r="K58" s="3"/>
      <c r="L58" s="110"/>
    </row>
    <row r="59" spans="5:12" x14ac:dyDescent="0.25">
      <c r="I59" s="3"/>
      <c r="J59" s="3"/>
      <c r="K59" s="3"/>
      <c r="L59" s="110"/>
    </row>
    <row r="60" spans="5:12" x14ac:dyDescent="0.25">
      <c r="I60" s="3"/>
      <c r="J60" s="3"/>
      <c r="K60" s="3"/>
      <c r="L60" s="110"/>
    </row>
    <row r="61" spans="5:12" x14ac:dyDescent="0.25">
      <c r="I61" s="3"/>
      <c r="J61" s="3"/>
      <c r="K61" s="3"/>
      <c r="L61" s="110"/>
    </row>
    <row r="62" spans="5:12" x14ac:dyDescent="0.25">
      <c r="I62" s="3"/>
      <c r="J62" s="3"/>
      <c r="K62" s="3"/>
      <c r="L62" s="110"/>
    </row>
    <row r="63" spans="5:12" x14ac:dyDescent="0.25">
      <c r="I63" s="3"/>
      <c r="J63" s="3"/>
      <c r="K63" s="3"/>
      <c r="L63" s="110"/>
    </row>
  </sheetData>
  <mergeCells count="9">
    <mergeCell ref="AA37:AA38"/>
    <mergeCell ref="X45:X46"/>
    <mergeCell ref="Y45:Y46"/>
    <mergeCell ref="B6:D7"/>
    <mergeCell ref="E6:F6"/>
    <mergeCell ref="G6:H6"/>
    <mergeCell ref="E7:F7"/>
    <mergeCell ref="G8:H8"/>
    <mergeCell ref="X37:Y38"/>
  </mergeCells>
  <conditionalFormatting sqref="B9:L39">
    <cfRule type="expression" dxfId="18" priority="5">
      <formula>WEEKDAY($D9,2)&gt;5</formula>
    </cfRule>
  </conditionalFormatting>
  <conditionalFormatting sqref="H9:H39">
    <cfRule type="expression" dxfId="17" priority="3">
      <formula>(G9="-")</formula>
    </cfRule>
  </conditionalFormatting>
  <conditionalFormatting sqref="H7">
    <cfRule type="expression" dxfId="16" priority="2">
      <formula>($G$7="-")</formula>
    </cfRule>
  </conditionalFormatting>
  <pageMargins left="0.7" right="0.7" top="0.78740157499999996" bottom="0.78740157499999996" header="0.3" footer="0.3"/>
  <pageSetup paperSize="9" scale="2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8E78A784-28BB-46AA-A8A8-CB3253179599}">
            <xm:f>MATCH($D9,'Výpočet mzdy'!$A$25:$A$37,0)</xm:f>
            <x14:dxf>
              <fill>
                <patternFill>
                  <bgColor rgb="FFFDEFE7"/>
                </patternFill>
              </fill>
            </x14:dxf>
          </x14:cfRule>
          <xm:sqref>B9:L39</xm:sqref>
        </x14:conditionalFormatting>
        <x14:conditionalFormatting xmlns:xm="http://schemas.microsoft.com/office/excel/2006/main">
          <x14:cfRule type="cellIs" priority="1" operator="lessThan" id="{4882CB1A-6680-4645-B8DB-4DDDFD83AB28}">
            <xm:f>'Výpočet mzdy'!$B$10</xm:f>
            <x14:dxf>
              <font>
                <color rgb="FFFF0000"/>
              </font>
            </x14:dxf>
          </x14:cfRule>
          <xm:sqref>K9:K39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Leden 2017</vt:lpstr>
      <vt:lpstr>Únor 2017</vt:lpstr>
      <vt:lpstr>Březen 2017</vt:lpstr>
      <vt:lpstr>Duben 2017</vt:lpstr>
      <vt:lpstr>Květen 2017</vt:lpstr>
      <vt:lpstr>Červen 2017</vt:lpstr>
      <vt:lpstr>Červenec 2017</vt:lpstr>
      <vt:lpstr>Srpen 2017</vt:lpstr>
      <vt:lpstr>Září 2017</vt:lpstr>
      <vt:lpstr>Říjen 2017</vt:lpstr>
      <vt:lpstr>Listopad 2017</vt:lpstr>
      <vt:lpstr>Prosinec 2017</vt:lpstr>
      <vt:lpstr>Výpočet mzdy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Vetrák</dc:creator>
  <cp:lastModifiedBy>Používateľ systému Windows</cp:lastModifiedBy>
  <cp:lastPrinted>2017-03-24T10:14:10Z</cp:lastPrinted>
  <dcterms:created xsi:type="dcterms:W3CDTF">2017-03-24T07:26:31Z</dcterms:created>
  <dcterms:modified xsi:type="dcterms:W3CDTF">2017-03-28T12:57:56Z</dcterms:modified>
</cp:coreProperties>
</file>