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to_zošit"/>
  <bookViews>
    <workbookView xWindow="0" yWindow="0" windowWidth="20376" windowHeight="12816"/>
  </bookViews>
  <sheets>
    <sheet name="Hárok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/>
  <c r="A17"/>
  <c r="U27"/>
  <c r="R27"/>
  <c r="P27"/>
  <c r="U26"/>
  <c r="R26"/>
  <c r="P26"/>
  <c r="U25"/>
  <c r="R25"/>
  <c r="P25"/>
  <c r="U24"/>
  <c r="R24"/>
  <c r="P24"/>
  <c r="U23"/>
  <c r="R23"/>
  <c r="P23"/>
  <c r="U22"/>
  <c r="R22"/>
  <c r="P22"/>
  <c r="U21"/>
  <c r="P21"/>
  <c r="R21" s="1"/>
  <c r="A21"/>
  <c r="A22" s="1"/>
  <c r="U20"/>
  <c r="P20"/>
  <c r="R20" s="1"/>
  <c r="U19"/>
  <c r="P19"/>
  <c r="U18"/>
  <c r="P18"/>
  <c r="R18" s="1"/>
  <c r="L16"/>
  <c r="C24" s="1"/>
  <c r="A3"/>
  <c r="A4" s="1"/>
  <c r="A25" l="1"/>
  <c r="G28" s="1"/>
  <c r="I30" s="1"/>
  <c r="N30"/>
  <c r="C18"/>
  <c r="L15"/>
  <c r="E30" s="1"/>
  <c r="G30" s="1"/>
  <c r="R30" s="1"/>
  <c r="C19"/>
  <c r="C20"/>
  <c r="C21"/>
  <c r="C25"/>
  <c r="C26"/>
  <c r="C27"/>
  <c r="C22"/>
  <c r="C23"/>
  <c r="P34" l="1"/>
  <c r="L34"/>
  <c r="G34"/>
  <c r="C34"/>
  <c r="Q34"/>
  <c r="M34"/>
  <c r="H34"/>
  <c r="D34"/>
  <c r="R34"/>
  <c r="N34"/>
  <c r="I34"/>
  <c r="F34"/>
  <c r="O34"/>
  <c r="J34"/>
  <c r="E34"/>
  <c r="K34"/>
  <c r="R28"/>
  <c r="N15"/>
</calcChain>
</file>

<file path=xl/comments1.xml><?xml version="1.0" encoding="utf-8"?>
<comments xmlns="http://schemas.openxmlformats.org/spreadsheetml/2006/main">
  <authors>
    <author>RR IL Ribe- Yura</author>
  </authors>
  <commentList>
    <comment ref="C29" authorId="0">
      <text>
        <r>
          <rPr>
            <b/>
            <sz val="9"/>
            <color indexed="81"/>
            <rFont val="Segoe UI"/>
            <family val="2"/>
            <charset val="238"/>
          </rPr>
          <t>V prípade napr. 6 mesiacov vojny zadaj číslo 0,5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<sst xmlns="http://schemas.openxmlformats.org/spreadsheetml/2006/main" count="78" uniqueCount="65">
  <si>
    <t>Odprac r.</t>
  </si>
  <si>
    <t>Pocet r.</t>
  </si>
  <si>
    <t>Percento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</si>
  <si>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</si>
  <si>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</si>
  <si>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</si>
  <si>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</si>
  <si>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</si>
  <si>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</si>
  <si>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</si>
  <si>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</si>
  <si>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</si>
  <si>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</si>
  <si>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</si>
  <si>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</si>
  <si>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rokov</t>
  </si>
  <si>
    <t>dní</t>
  </si>
  <si>
    <t>Dnes je:</t>
  </si>
  <si>
    <t>Hrubý ročný príjem</t>
  </si>
  <si>
    <t>Priemerný ročný plat</t>
  </si>
  <si>
    <t>Mesiace v roku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</si>
  <si>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</si>
  <si>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</si>
  <si>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</si>
  <si>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</si>
  <si>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</si>
  <si>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</si>
  <si>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</si>
  <si>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</si>
  <si>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</si>
  <si>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</si>
  <si>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</si>
  <si>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</si>
  <si>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 ešte musíš</t>
  </si>
  <si>
    <t>Tvoj aktuálny výsluhový dôchodok je:</t>
  </si>
  <si>
    <t>Priemer z ktorej sa počíta dôchodok</t>
  </si>
  <si>
    <t>Ozbrojené zbory</t>
  </si>
  <si>
    <t>zákl./náhr.           služba</t>
  </si>
  <si>
    <t>ozbrojené zbory</t>
  </si>
  <si>
    <t>započítaných rokov celkom</t>
  </si>
  <si>
    <t>˃ ˂</t>
  </si>
  <si>
    <t>Odslúžené roky</t>
  </si>
  <si>
    <t>Počet platov</t>
  </si>
  <si>
    <t>Percentá</t>
  </si>
  <si>
    <t>Suma</t>
  </si>
  <si>
    <t>RERRAJDCJHRAJLP</t>
  </si>
  <si>
    <t>Dĺžka trvania práce</t>
  </si>
  <si>
    <t>máš odpracovanéné</t>
  </si>
  <si>
    <t>odpracovať</t>
  </si>
  <si>
    <t>príjem</t>
  </si>
  <si>
    <t>Počet potrebných ukončených rokov práca k získaniu nároku na  dôchodok</t>
  </si>
  <si>
    <r>
      <t xml:space="preserve">SUMA </t>
    </r>
    <r>
      <rPr>
        <b/>
        <sz val="11"/>
        <color indexed="20"/>
        <rFont val="Arial CE"/>
        <charset val="238"/>
      </rPr>
      <t>odchodného</t>
    </r>
  </si>
  <si>
    <r>
      <t xml:space="preserve">Nárok na  dôchodok dosiahneš v roku </t>
    </r>
    <r>
      <rPr>
        <b/>
        <sz val="10"/>
        <color indexed="62"/>
        <rFont val="Arial CE"/>
        <charset val="238"/>
      </rPr>
      <t>(orientačný údaj)</t>
    </r>
  </si>
  <si>
    <t>Ak bolo k 1.5.2013 odpracovaných len 14 rokov tak sa ráta premier platov v bunkách R18 a R19</t>
  </si>
  <si>
    <t>Podstatné je aby bolo k 1.5.2013 odpracovaných 15 rokov. Vtedy sa ráta priemer z posledného celého odpracovaného roku teda z 2016 (R18).</t>
  </si>
  <si>
    <t>Ak bolo k 1.5.2013 odpracovaných len 13 rokov tak sa ráta premier platov v bunkách R17 +R18+ R19</t>
  </si>
  <si>
    <t>Ak bolo k 1.5.2013 odpracovaných len 12 rokov tak sa ráta premier platov v bunkách R16+R17 +R18+ R19</t>
  </si>
  <si>
    <t>Atď</t>
  </si>
  <si>
    <t>Ten kto má k 1.5.2013 odpracovaných len 6 rokov a menej tak sa ráta premier platov v bunkách za 10 rokov.</t>
  </si>
  <si>
    <t>dôchodok</t>
  </si>
  <si>
    <t xml:space="preserve">Ten kto nesplna podmienku odpracovaných rokov podľa G28 , čo sa dá vizuálne zistiť porovaním hodnoty v bunke G30, nemá nárok dôchodok v tomto čase, </t>
  </si>
  <si>
    <t>Zamestnaný od:</t>
  </si>
  <si>
    <t>k tomuto dát. odprac. rok</t>
  </si>
  <si>
    <t>ale aj tak sa mu bude rátať v čase jeho odchodu v prípade splnenia podmienky z G28 dôchodok z 10 rokov priemerných platov R18:R27.</t>
  </si>
  <si>
    <t>Potrebujem doplniť vzorec do N30, aby mi rátal priemer ročných platov z buniek R18:R27, podla počtu odpracovaných rokov viď bunka A22</t>
  </si>
</sst>
</file>

<file path=xl/styles.xml><?xml version="1.0" encoding="utf-8"?>
<styleSheet xmlns="http://schemas.openxmlformats.org/spreadsheetml/2006/main">
  <numFmts count="3">
    <numFmt numFmtId="164" formatCode="d/m/yyyy;@"/>
    <numFmt numFmtId="165" formatCode="0.000"/>
    <numFmt numFmtId="166" formatCode="0.0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4"/>
      <name val="Arial CE"/>
      <charset val="238"/>
    </font>
    <font>
      <sz val="20"/>
      <color indexed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2"/>
      <color indexed="20"/>
      <name val="Arial CE"/>
      <family val="2"/>
      <charset val="238"/>
    </font>
    <font>
      <b/>
      <sz val="11"/>
      <color indexed="20"/>
      <name val="Arial CE"/>
      <family val="2"/>
      <charset val="238"/>
    </font>
    <font>
      <b/>
      <sz val="10"/>
      <color indexed="20"/>
      <name val="Arial CE"/>
      <family val="2"/>
      <charset val="238"/>
    </font>
    <font>
      <sz val="12"/>
      <name val="Arial CE"/>
      <family val="2"/>
      <charset val="238"/>
    </font>
    <font>
      <b/>
      <sz val="14"/>
      <color indexed="62"/>
      <name val="Arial CE"/>
      <family val="2"/>
      <charset val="238"/>
    </font>
    <font>
      <b/>
      <sz val="11"/>
      <color indexed="62"/>
      <name val="Arial CE"/>
      <family val="2"/>
      <charset val="238"/>
    </font>
    <font>
      <b/>
      <sz val="10"/>
      <color indexed="62"/>
      <name val="Arial CE"/>
      <family val="2"/>
      <charset val="238"/>
    </font>
    <font>
      <b/>
      <sz val="14"/>
      <color indexed="20"/>
      <name val="Arial CE"/>
      <family val="2"/>
      <charset val="238"/>
    </font>
    <font>
      <b/>
      <sz val="12"/>
      <color indexed="62"/>
      <name val="Arial CE"/>
      <family val="2"/>
      <charset val="238"/>
    </font>
    <font>
      <b/>
      <sz val="10"/>
      <color indexed="62"/>
      <name val="Arial CE"/>
      <charset val="238"/>
    </font>
    <font>
      <b/>
      <sz val="18"/>
      <color indexed="20"/>
      <name val="Arial CE"/>
      <family val="2"/>
      <charset val="238"/>
    </font>
    <font>
      <b/>
      <sz val="9"/>
      <color indexed="20"/>
      <name val="Arial CE"/>
      <family val="2"/>
      <charset val="238"/>
    </font>
    <font>
      <sz val="12"/>
      <name val="Calibri"/>
      <family val="2"/>
      <charset val="238"/>
    </font>
    <font>
      <sz val="16"/>
      <color indexed="62"/>
      <name val="Arial CE"/>
      <family val="2"/>
      <charset val="238"/>
    </font>
    <font>
      <sz val="20"/>
      <color indexed="9"/>
      <name val="Arial CE"/>
      <family val="2"/>
      <charset val="238"/>
    </font>
    <font>
      <sz val="18"/>
      <color indexed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22"/>
      <color indexed="20"/>
      <name val="Arial CE"/>
      <family val="2"/>
      <charset val="238"/>
    </font>
    <font>
      <sz val="18"/>
      <name val="Arial CE"/>
      <family val="2"/>
      <charset val="238"/>
    </font>
    <font>
      <sz val="12"/>
      <color indexed="18"/>
      <name val="Arial CE"/>
      <family val="2"/>
      <charset val="238"/>
    </font>
    <font>
      <b/>
      <sz val="11"/>
      <color indexed="18"/>
      <name val="Arial CE"/>
      <family val="2"/>
      <charset val="238"/>
    </font>
    <font>
      <sz val="11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62"/>
      <name val="Arial CE"/>
      <family val="2"/>
      <charset val="238"/>
    </font>
    <font>
      <sz val="12"/>
      <color theme="0"/>
      <name val="Arial CE"/>
      <family val="2"/>
      <charset val="238"/>
    </font>
    <font>
      <b/>
      <sz val="7"/>
      <color indexed="62"/>
      <name val="Arial CE"/>
      <family val="2"/>
      <charset val="238"/>
    </font>
    <font>
      <b/>
      <sz val="11"/>
      <color indexed="20"/>
      <name val="Arial CE"/>
      <charset val="238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 style="hair">
        <color indexed="62"/>
      </left>
      <right style="double">
        <color indexed="62"/>
      </right>
      <top style="hair">
        <color indexed="62"/>
      </top>
      <bottom style="hair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2"/>
      </left>
      <right/>
      <top/>
      <bottom style="double">
        <color indexed="62"/>
      </bottom>
      <diagonal/>
    </border>
    <border>
      <left style="double">
        <color indexed="9"/>
      </left>
      <right/>
      <top style="double">
        <color indexed="62"/>
      </top>
      <bottom style="double">
        <color indexed="12"/>
      </bottom>
      <diagonal/>
    </border>
    <border>
      <left/>
      <right/>
      <top style="double">
        <color indexed="62"/>
      </top>
      <bottom style="double">
        <color indexed="12"/>
      </bottom>
      <diagonal/>
    </border>
    <border>
      <left/>
      <right style="double">
        <color indexed="9"/>
      </right>
      <top style="double">
        <color indexed="62"/>
      </top>
      <bottom style="double">
        <color indexed="12"/>
      </bottom>
      <diagonal/>
    </border>
    <border>
      <left/>
      <right style="double">
        <color indexed="41"/>
      </right>
      <top style="double">
        <color indexed="12"/>
      </top>
      <bottom style="double">
        <color indexed="41"/>
      </bottom>
      <diagonal/>
    </border>
    <border>
      <left style="double">
        <color indexed="41"/>
      </left>
      <right style="double">
        <color indexed="41"/>
      </right>
      <top style="double">
        <color indexed="12"/>
      </top>
      <bottom style="double">
        <color indexed="41"/>
      </bottom>
      <diagonal/>
    </border>
    <border>
      <left style="double">
        <color indexed="41"/>
      </left>
      <right style="double">
        <color indexed="12"/>
      </right>
      <top style="double">
        <color indexed="12"/>
      </top>
      <bottom style="double">
        <color indexed="41"/>
      </bottom>
      <diagonal/>
    </border>
    <border>
      <left/>
      <right style="double">
        <color indexed="41"/>
      </right>
      <top style="double">
        <color indexed="41"/>
      </top>
      <bottom style="double">
        <color indexed="41"/>
      </bottom>
      <diagonal/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  <diagonal/>
    </border>
    <border>
      <left style="double">
        <color indexed="41"/>
      </left>
      <right style="double">
        <color indexed="12"/>
      </right>
      <top style="double">
        <color indexed="41"/>
      </top>
      <bottom style="double">
        <color indexed="41"/>
      </bottom>
      <diagonal/>
    </border>
    <border>
      <left/>
      <right style="double">
        <color indexed="41"/>
      </right>
      <top style="double">
        <color indexed="41"/>
      </top>
      <bottom style="double">
        <color indexed="12"/>
      </bottom>
      <diagonal/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12"/>
      </bottom>
      <diagonal/>
    </border>
  </borders>
  <cellStyleXfs count="1">
    <xf numFmtId="0" fontId="0" fillId="0" borderId="0"/>
  </cellStyleXfs>
  <cellXfs count="115">
    <xf numFmtId="0" fontId="0" fillId="0" borderId="0" xfId="0"/>
    <xf numFmtId="14" fontId="0" fillId="0" borderId="0" xfId="0" applyNumberFormat="1"/>
    <xf numFmtId="1" fontId="0" fillId="0" borderId="0" xfId="0" applyNumberFormat="1"/>
    <xf numFmtId="9" fontId="0" fillId="0" borderId="0" xfId="0" applyNumberFormat="1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164" fontId="2" fillId="0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165" fontId="2" fillId="2" borderId="0" xfId="0" applyNumberFormat="1" applyFont="1" applyFill="1" applyAlignment="1" applyProtection="1">
      <protection hidden="1"/>
    </xf>
    <xf numFmtId="1" fontId="4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1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right" vertical="center"/>
      <protection hidden="1"/>
    </xf>
    <xf numFmtId="14" fontId="6" fillId="3" borderId="4" xfId="0" applyNumberFormat="1" applyFont="1" applyFill="1" applyBorder="1" applyAlignment="1" applyProtection="1">
      <alignment horizontal="center" vertical="center"/>
      <protection hidden="1"/>
    </xf>
    <xf numFmtId="14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0" fontId="11" fillId="6" borderId="8" xfId="0" applyFont="1" applyFill="1" applyBorder="1" applyAlignment="1" applyProtection="1">
      <alignment horizontal="center" vertical="center"/>
      <protection hidden="1"/>
    </xf>
    <xf numFmtId="0" fontId="11" fillId="6" borderId="10" xfId="0" applyFont="1" applyFill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11" fillId="6" borderId="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2" fillId="6" borderId="7" xfId="0" applyFont="1" applyFill="1" applyBorder="1" applyAlignment="1" applyProtection="1">
      <alignment horizontal="center" vertical="center" wrapText="1"/>
      <protection hidden="1"/>
    </xf>
    <xf numFmtId="3" fontId="13" fillId="0" borderId="7" xfId="0" applyNumberFormat="1" applyFont="1" applyFill="1" applyBorder="1" applyAlignment="1" applyProtection="1">
      <alignment horizontal="center" vertical="center"/>
      <protection locked="0" hidden="1"/>
    </xf>
    <xf numFmtId="3" fontId="14" fillId="4" borderId="8" xfId="0" applyNumberFormat="1" applyFont="1" applyFill="1" applyBorder="1" applyAlignment="1" applyProtection="1">
      <alignment horizontal="center" vertical="center"/>
      <protection hidden="1"/>
    </xf>
    <xf numFmtId="3" fontId="14" fillId="4" borderId="13" xfId="0" applyNumberFormat="1" applyFont="1" applyFill="1" applyBorder="1" applyAlignment="1" applyProtection="1">
      <alignment horizontal="center" vertical="center"/>
      <protection hidden="1"/>
    </xf>
    <xf numFmtId="14" fontId="1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165" fontId="12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12" fillId="5" borderId="9" xfId="0" applyNumberFormat="1" applyFont="1" applyFill="1" applyBorder="1" applyAlignment="1" applyProtection="1">
      <alignment horizontal="left" vertical="center" wrapText="1" indent="3"/>
      <protection hidden="1"/>
    </xf>
    <xf numFmtId="0" fontId="12" fillId="2" borderId="8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  <xf numFmtId="1" fontId="2" fillId="2" borderId="13" xfId="0" applyNumberFormat="1" applyFont="1" applyFill="1" applyBorder="1" applyAlignment="1" applyProtection="1">
      <alignment horizontal="center" vertical="center"/>
      <protection hidden="1"/>
    </xf>
    <xf numFmtId="1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15" fillId="6" borderId="14" xfId="0" applyFont="1" applyFill="1" applyBorder="1" applyAlignment="1" applyProtection="1">
      <alignment horizontal="center" vertical="center" wrapText="1"/>
      <protection hidden="1"/>
    </xf>
    <xf numFmtId="0" fontId="15" fillId="6" borderId="15" xfId="0" applyFont="1" applyFill="1" applyBorder="1" applyAlignment="1" applyProtection="1">
      <alignment horizontal="center" vertical="center" wrapText="1"/>
      <protection hidden="1"/>
    </xf>
    <xf numFmtId="0" fontId="15" fillId="6" borderId="16" xfId="0" applyFont="1" applyFill="1" applyBorder="1" applyAlignment="1" applyProtection="1">
      <alignment horizontal="center" vertical="center" wrapText="1"/>
      <protection hidden="1"/>
    </xf>
    <xf numFmtId="0" fontId="14" fillId="4" borderId="14" xfId="0" applyFont="1" applyFill="1" applyBorder="1" applyAlignment="1" applyProtection="1">
      <alignment horizontal="center" vertical="center" wrapText="1"/>
      <protection hidden="1"/>
    </xf>
    <xf numFmtId="0" fontId="14" fillId="4" borderId="16" xfId="0" applyFont="1" applyFill="1" applyBorder="1" applyAlignment="1" applyProtection="1">
      <alignment horizontal="center" vertical="center" wrapText="1"/>
      <protection hidden="1"/>
    </xf>
    <xf numFmtId="0" fontId="15" fillId="6" borderId="8" xfId="0" applyFont="1" applyFill="1" applyBorder="1" applyAlignment="1" applyProtection="1">
      <alignment horizontal="center" vertical="center" wrapText="1"/>
      <protection hidden="1"/>
    </xf>
    <xf numFmtId="0" fontId="15" fillId="6" borderId="10" xfId="0" applyFont="1" applyFill="1" applyBorder="1" applyAlignment="1" applyProtection="1">
      <alignment horizontal="center" vertical="center" wrapText="1"/>
      <protection hidden="1"/>
    </xf>
    <xf numFmtId="0" fontId="12" fillId="6" borderId="8" xfId="0" applyFont="1" applyFill="1" applyBorder="1" applyAlignment="1" applyProtection="1">
      <alignment horizontal="center" vertical="center" wrapText="1"/>
      <protection hidden="1"/>
    </xf>
    <xf numFmtId="0" fontId="12" fillId="6" borderId="10" xfId="0" applyFont="1" applyFill="1" applyBorder="1" applyAlignment="1" applyProtection="1">
      <alignment horizontal="center" vertical="center" wrapText="1"/>
      <protection hidden="1"/>
    </xf>
    <xf numFmtId="0" fontId="15" fillId="6" borderId="18" xfId="0" applyFont="1" applyFill="1" applyBorder="1" applyAlignment="1" applyProtection="1">
      <alignment horizontal="center" vertical="center" wrapText="1"/>
      <protection hidden="1"/>
    </xf>
    <xf numFmtId="0" fontId="15" fillId="6" borderId="4" xfId="0" applyFont="1" applyFill="1" applyBorder="1" applyAlignment="1" applyProtection="1">
      <alignment horizontal="center" vertical="center" wrapText="1"/>
      <protection hidden="1"/>
    </xf>
    <xf numFmtId="0" fontId="15" fillId="6" borderId="11" xfId="0" applyFont="1" applyFill="1" applyBorder="1" applyAlignment="1" applyProtection="1">
      <alignment horizontal="center" vertical="center" wrapText="1"/>
      <protection hidden="1"/>
    </xf>
    <xf numFmtId="0" fontId="14" fillId="4" borderId="18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5" fillId="6" borderId="7" xfId="0" applyFont="1" applyFill="1" applyBorder="1" applyAlignment="1" applyProtection="1">
      <alignment horizontal="center" vertical="center" wrapText="1"/>
      <protection hidden="1"/>
    </xf>
    <xf numFmtId="166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6" fontId="2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" fontId="20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" fontId="20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3" fontId="21" fillId="7" borderId="7" xfId="0" applyNumberFormat="1" applyFont="1" applyFill="1" applyBorder="1" applyAlignment="1" applyProtection="1">
      <alignment horizontal="center" vertical="center"/>
      <protection hidden="1"/>
    </xf>
    <xf numFmtId="3" fontId="22" fillId="7" borderId="8" xfId="0" applyNumberFormat="1" applyFont="1" applyFill="1" applyBorder="1" applyAlignment="1" applyProtection="1">
      <alignment horizontal="center" vertical="center" wrapText="1"/>
      <protection hidden="1"/>
    </xf>
    <xf numFmtId="3" fontId="22" fillId="7" borderId="13" xfId="0" applyNumberFormat="1" applyFont="1" applyFill="1" applyBorder="1" applyAlignment="1" applyProtection="1">
      <alignment horizontal="center" vertical="center" wrapText="1"/>
      <protection hidden="1"/>
    </xf>
    <xf numFmtId="3" fontId="22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7" xfId="0" applyFont="1" applyFill="1" applyBorder="1" applyAlignment="1" applyProtection="1">
      <alignment horizontal="center" vertical="center" wrapText="1"/>
      <protection hidden="1"/>
    </xf>
    <xf numFmtId="1" fontId="24" fillId="8" borderId="8" xfId="0" applyNumberFormat="1" applyFont="1" applyFill="1" applyBorder="1" applyAlignment="1" applyProtection="1">
      <alignment horizontal="center" vertical="center"/>
      <protection hidden="1"/>
    </xf>
    <xf numFmtId="1" fontId="22" fillId="9" borderId="19" xfId="0" applyNumberFormat="1" applyFont="1" applyFill="1" applyBorder="1" applyAlignment="1" applyProtection="1">
      <alignment horizontal="center" vertical="center"/>
      <protection hidden="1"/>
    </xf>
    <xf numFmtId="1" fontId="22" fillId="9" borderId="20" xfId="0" applyNumberFormat="1" applyFont="1" applyFill="1" applyBorder="1" applyAlignment="1" applyProtection="1">
      <alignment horizontal="center" vertical="center"/>
      <protection hidden="1"/>
    </xf>
    <xf numFmtId="1" fontId="22" fillId="9" borderId="21" xfId="0" applyNumberFormat="1" applyFont="1" applyFill="1" applyBorder="1" applyAlignment="1" applyProtection="1">
      <alignment horizontal="center" vertical="center"/>
      <protection hidden="1"/>
    </xf>
    <xf numFmtId="9" fontId="26" fillId="10" borderId="22" xfId="0" applyNumberFormat="1" applyFont="1" applyFill="1" applyBorder="1" applyAlignment="1" applyProtection="1">
      <alignment horizontal="center" vertical="center"/>
      <protection hidden="1"/>
    </xf>
    <xf numFmtId="9" fontId="26" fillId="10" borderId="23" xfId="0" applyNumberFormat="1" applyFont="1" applyFill="1" applyBorder="1" applyAlignment="1" applyProtection="1">
      <alignment horizontal="center" vertical="center"/>
      <protection hidden="1"/>
    </xf>
    <xf numFmtId="9" fontId="26" fillId="10" borderId="24" xfId="0" applyNumberFormat="1" applyFont="1" applyFill="1" applyBorder="1" applyAlignment="1" applyProtection="1">
      <alignment horizontal="center" vertical="center"/>
      <protection hidden="1"/>
    </xf>
    <xf numFmtId="0" fontId="26" fillId="10" borderId="25" xfId="0" applyFont="1" applyFill="1" applyBorder="1" applyAlignment="1" applyProtection="1">
      <alignment horizontal="center" vertical="center"/>
      <protection hidden="1"/>
    </xf>
    <xf numFmtId="0" fontId="26" fillId="10" borderId="26" xfId="0" applyFont="1" applyFill="1" applyBorder="1" applyAlignment="1" applyProtection="1">
      <alignment horizontal="center" vertical="center"/>
      <protection hidden="1"/>
    </xf>
    <xf numFmtId="0" fontId="26" fillId="10" borderId="27" xfId="0" applyFont="1" applyFill="1" applyBorder="1" applyAlignment="1" applyProtection="1">
      <alignment horizontal="center" vertical="center"/>
      <protection hidden="1"/>
    </xf>
    <xf numFmtId="1" fontId="27" fillId="10" borderId="28" xfId="0" applyNumberFormat="1" applyFont="1" applyFill="1" applyBorder="1" applyAlignment="1" applyProtection="1">
      <alignment horizontal="center" vertical="center"/>
      <protection hidden="1"/>
    </xf>
    <xf numFmtId="1" fontId="27" fillId="10" borderId="29" xfId="0" applyNumberFormat="1" applyFont="1" applyFill="1" applyBorder="1" applyAlignment="1" applyProtection="1">
      <alignment horizontal="center" vertical="center"/>
      <protection hidden="1"/>
    </xf>
    <xf numFmtId="0" fontId="31" fillId="5" borderId="9" xfId="0" applyFont="1" applyFill="1" applyBorder="1" applyAlignment="1" applyProtection="1">
      <alignment horizontal="center" vertical="center" wrapText="1"/>
      <protection hidden="1"/>
    </xf>
    <xf numFmtId="0" fontId="13" fillId="5" borderId="9" xfId="0" applyFont="1" applyFill="1" applyBorder="1" applyAlignment="1" applyProtection="1">
      <alignment horizontal="center" vertical="center" wrapText="1"/>
      <protection hidden="1"/>
    </xf>
    <xf numFmtId="3" fontId="23" fillId="11" borderId="8" xfId="0" applyNumberFormat="1" applyFont="1" applyFill="1" applyBorder="1" applyAlignment="1" applyProtection="1">
      <alignment horizontal="center" vertical="center" wrapText="1"/>
      <protection hidden="1"/>
    </xf>
    <xf numFmtId="3" fontId="23" fillId="11" borderId="13" xfId="0" applyNumberFormat="1" applyFont="1" applyFill="1" applyBorder="1" applyAlignment="1" applyProtection="1">
      <alignment horizontal="center" vertical="center" wrapText="1"/>
      <protection hidden="1"/>
    </xf>
    <xf numFmtId="0" fontId="32" fillId="11" borderId="8" xfId="0" applyFont="1" applyFill="1" applyBorder="1" applyAlignment="1" applyProtection="1">
      <alignment horizontal="center" wrapText="1"/>
      <protection hidden="1"/>
    </xf>
    <xf numFmtId="0" fontId="32" fillId="11" borderId="10" xfId="0" applyFont="1" applyFill="1" applyBorder="1" applyAlignment="1" applyProtection="1">
      <alignment horizontal="center" wrapText="1"/>
      <protection hidden="1"/>
    </xf>
    <xf numFmtId="0" fontId="33" fillId="5" borderId="9" xfId="0" applyFont="1" applyFill="1" applyBorder="1" applyAlignment="1" applyProtection="1">
      <alignment horizontal="center" vertical="center" wrapText="1"/>
      <protection hidden="1"/>
    </xf>
    <xf numFmtId="0" fontId="10" fillId="8" borderId="7" xfId="0" applyFont="1" applyFill="1" applyBorder="1" applyAlignment="1" applyProtection="1">
      <alignment horizontal="center" vertical="center"/>
      <protection hidden="1"/>
    </xf>
    <xf numFmtId="0" fontId="1" fillId="12" borderId="0" xfId="0" applyFont="1" applyFill="1" applyProtection="1">
      <protection hidden="1"/>
    </xf>
    <xf numFmtId="0" fontId="10" fillId="12" borderId="0" xfId="0" applyFont="1" applyFill="1" applyBorder="1" applyProtection="1">
      <protection hidden="1"/>
    </xf>
    <xf numFmtId="0" fontId="10" fillId="12" borderId="0" xfId="0" applyFont="1" applyFill="1" applyBorder="1" applyAlignment="1" applyProtection="1">
      <alignment wrapText="1"/>
      <protection hidden="1"/>
    </xf>
    <xf numFmtId="1" fontId="19" fillId="12" borderId="0" xfId="0" applyNumberFormat="1" applyFont="1" applyFill="1" applyBorder="1" applyAlignment="1" applyProtection="1">
      <alignment wrapText="1"/>
      <protection hidden="1"/>
    </xf>
    <xf numFmtId="0" fontId="25" fillId="12" borderId="0" xfId="0" applyFont="1" applyFill="1" applyProtection="1">
      <protection hidden="1"/>
    </xf>
    <xf numFmtId="0" fontId="10" fillId="12" borderId="0" xfId="0" applyFont="1" applyFill="1" applyProtection="1">
      <protection hidden="1"/>
    </xf>
    <xf numFmtId="0" fontId="1" fillId="12" borderId="0" xfId="0" applyFont="1" applyFill="1" applyAlignment="1" applyProtection="1">
      <alignment horizontal="center"/>
      <protection hidden="1"/>
    </xf>
    <xf numFmtId="0" fontId="8" fillId="12" borderId="7" xfId="0" applyFont="1" applyFill="1" applyBorder="1" applyAlignment="1" applyProtection="1">
      <alignment horizontal="center" vertical="center" wrapText="1"/>
      <protection hidden="1"/>
    </xf>
    <xf numFmtId="3" fontId="9" fillId="12" borderId="8" xfId="0" applyNumberFormat="1" applyFont="1" applyFill="1" applyBorder="1" applyAlignment="1" applyProtection="1">
      <alignment vertical="center"/>
      <protection hidden="1"/>
    </xf>
    <xf numFmtId="3" fontId="7" fillId="12" borderId="10" xfId="0" applyNumberFormat="1" applyFont="1" applyFill="1" applyBorder="1" applyAlignment="1" applyProtection="1">
      <alignment vertical="center"/>
      <protection hidden="1"/>
    </xf>
    <xf numFmtId="0" fontId="0" fillId="12" borderId="0" xfId="0" applyFill="1" applyAlignment="1">
      <alignment horizontal="center"/>
    </xf>
    <xf numFmtId="0" fontId="0" fillId="12" borderId="0" xfId="0" applyFill="1"/>
    <xf numFmtId="3" fontId="10" fillId="12" borderId="0" xfId="0" applyNumberFormat="1" applyFont="1" applyFill="1" applyBorder="1" applyAlignment="1" applyProtection="1">
      <alignment horizontal="center" vertical="center"/>
      <protection hidden="1"/>
    </xf>
    <xf numFmtId="1" fontId="17" fillId="12" borderId="17" xfId="0" applyNumberFormat="1" applyFont="1" applyFill="1" applyBorder="1" applyAlignment="1" applyProtection="1">
      <alignment horizontal="center" vertical="center"/>
      <protection hidden="1"/>
    </xf>
    <xf numFmtId="1" fontId="18" fillId="12" borderId="0" xfId="0" applyNumberFormat="1" applyFont="1" applyFill="1" applyBorder="1" applyAlignment="1" applyProtection="1">
      <alignment horizontal="center" vertical="center"/>
      <protection hidden="1"/>
    </xf>
    <xf numFmtId="0" fontId="25" fillId="12" borderId="0" xfId="0" applyFont="1" applyFill="1" applyAlignment="1" applyProtection="1">
      <alignment horizontal="center"/>
      <protection hidden="1"/>
    </xf>
    <xf numFmtId="0" fontId="10" fillId="12" borderId="0" xfId="0" applyFont="1" applyFill="1" applyAlignment="1" applyProtection="1">
      <alignment horizontal="center"/>
      <protection hidden="1"/>
    </xf>
    <xf numFmtId="0" fontId="28" fillId="12" borderId="0" xfId="0" applyFont="1" applyFill="1"/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35" fillId="0" borderId="5" xfId="0" applyFont="1" applyBorder="1"/>
    <xf numFmtId="3" fontId="9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4" xfId="0" applyFont="1" applyBorder="1"/>
    <xf numFmtId="0" fontId="35" fillId="0" borderId="11" xfId="0" applyFont="1" applyBorder="1"/>
    <xf numFmtId="3" fontId="9" fillId="4" borderId="12" xfId="0" applyNumberFormat="1" applyFont="1" applyFill="1" applyBorder="1" applyAlignment="1" applyProtection="1">
      <alignment horizontal="center" vertical="center" wrapText="1"/>
      <protection hidden="1"/>
    </xf>
    <xf numFmtId="1" fontId="14" fillId="4" borderId="14" xfId="0" applyNumberFormat="1" applyFont="1" applyFill="1" applyBorder="1" applyAlignment="1" applyProtection="1">
      <alignment horizontal="center" vertical="center"/>
      <protection hidden="1"/>
    </xf>
    <xf numFmtId="1" fontId="14" fillId="4" borderId="18" xfId="0" applyNumberFormat="1" applyFont="1" applyFill="1" applyBorder="1" applyAlignment="1" applyProtection="1">
      <alignment horizontal="center" vertical="center"/>
      <protection hidden="1"/>
    </xf>
    <xf numFmtId="3" fontId="7" fillId="4" borderId="7" xfId="0" applyNumberFormat="1" applyFont="1" applyFill="1" applyBorder="1" applyAlignment="1" applyProtection="1">
      <alignment horizontal="center" vertical="center"/>
      <protection hidden="1"/>
    </xf>
    <xf numFmtId="0" fontId="12" fillId="6" borderId="14" xfId="0" applyFont="1" applyFill="1" applyBorder="1" applyAlignment="1" applyProtection="1">
      <alignment horizontal="center" vertical="center" wrapText="1"/>
      <protection hidden="1"/>
    </xf>
    <xf numFmtId="0" fontId="12" fillId="6" borderId="15" xfId="0" applyFont="1" applyFill="1" applyBorder="1" applyAlignment="1" applyProtection="1">
      <alignment horizontal="center" vertical="center" wrapText="1"/>
      <protection hidden="1"/>
    </xf>
    <xf numFmtId="0" fontId="12" fillId="6" borderId="16" xfId="0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4" xfId="0" applyFont="1" applyFill="1" applyBorder="1" applyAlignment="1" applyProtection="1">
      <alignment horizontal="center" vertical="center" wrapText="1"/>
      <protection hidden="1"/>
    </xf>
    <xf numFmtId="0" fontId="12" fillId="6" borderId="11" xfId="0" applyFont="1" applyFill="1" applyBorder="1" applyAlignment="1" applyProtection="1">
      <alignment horizontal="center" vertical="center" wrapText="1"/>
      <protection hidden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V44"/>
  <sheetViews>
    <sheetView tabSelected="1" topLeftCell="A32" workbookViewId="0">
      <selection activeCell="M47" sqref="M47"/>
    </sheetView>
  </sheetViews>
  <sheetFormatPr defaultRowHeight="14.4"/>
  <cols>
    <col min="1" max="1" width="11.109375" customWidth="1"/>
    <col min="2" max="2" width="15.33203125" customWidth="1"/>
    <col min="3" max="17" width="6.77734375" customWidth="1"/>
    <col min="18" max="18" width="10" customWidth="1"/>
    <col min="19" max="19" width="12.109375" customWidth="1"/>
    <col min="20" max="20" width="6.77734375" customWidth="1"/>
    <col min="21" max="21" width="9.33203125" customWidth="1"/>
  </cols>
  <sheetData>
    <row r="1" spans="1:22">
      <c r="A1" s="1">
        <v>36871</v>
      </c>
    </row>
    <row r="2" spans="1:22">
      <c r="A2" s="2">
        <v>18</v>
      </c>
    </row>
    <row r="3" spans="1:22">
      <c r="A3">
        <f ca="1">IFERROR(AVERAGE(OFFSET($D$13:$O$13,-(VLOOKUP(A2,$R$4:$S$13,2,TRUE)-1),)),"málo r.")</f>
        <v>700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R3" s="25" t="s">
        <v>0</v>
      </c>
      <c r="S3" s="25" t="s">
        <v>1</v>
      </c>
      <c r="U3" t="s">
        <v>0</v>
      </c>
      <c r="V3" t="s">
        <v>2</v>
      </c>
    </row>
    <row r="4" spans="1:22">
      <c r="A4">
        <f ca="1">IFERROR(A3*VLOOKUP(A2,$U$4:$V$19,2,TRUE),"málo r.")</f>
        <v>252</v>
      </c>
      <c r="C4">
        <v>2007</v>
      </c>
      <c r="D4">
        <v>500</v>
      </c>
      <c r="E4">
        <v>510</v>
      </c>
      <c r="F4">
        <v>520</v>
      </c>
      <c r="G4">
        <v>530</v>
      </c>
      <c r="H4">
        <v>540</v>
      </c>
      <c r="I4">
        <v>530</v>
      </c>
      <c r="J4">
        <v>520</v>
      </c>
      <c r="K4">
        <v>510</v>
      </c>
      <c r="L4">
        <v>500</v>
      </c>
      <c r="M4">
        <v>510</v>
      </c>
      <c r="N4">
        <v>520</v>
      </c>
      <c r="O4">
        <v>530</v>
      </c>
      <c r="R4" s="25">
        <v>11</v>
      </c>
      <c r="S4" s="25">
        <v>10</v>
      </c>
      <c r="U4">
        <v>15</v>
      </c>
      <c r="V4" s="3">
        <v>0.3</v>
      </c>
    </row>
    <row r="5" spans="1:22">
      <c r="C5">
        <v>2008</v>
      </c>
      <c r="D5">
        <v>520</v>
      </c>
      <c r="E5">
        <v>530</v>
      </c>
      <c r="F5">
        <v>540</v>
      </c>
      <c r="G5">
        <v>550</v>
      </c>
      <c r="H5">
        <v>560</v>
      </c>
      <c r="I5">
        <v>570</v>
      </c>
      <c r="J5">
        <v>580</v>
      </c>
      <c r="K5">
        <v>570</v>
      </c>
      <c r="L5">
        <v>560</v>
      </c>
      <c r="M5">
        <v>550</v>
      </c>
      <c r="N5">
        <v>540</v>
      </c>
      <c r="O5">
        <v>530</v>
      </c>
      <c r="R5" s="25">
        <v>12</v>
      </c>
      <c r="S5" s="25">
        <v>9</v>
      </c>
      <c r="U5">
        <v>16</v>
      </c>
      <c r="V5" s="3">
        <v>0.32</v>
      </c>
    </row>
    <row r="6" spans="1:22">
      <c r="C6">
        <v>2009</v>
      </c>
      <c r="D6">
        <v>540</v>
      </c>
      <c r="E6">
        <v>550</v>
      </c>
      <c r="F6">
        <v>540</v>
      </c>
      <c r="G6">
        <v>550</v>
      </c>
      <c r="H6">
        <v>540</v>
      </c>
      <c r="I6">
        <v>550</v>
      </c>
      <c r="J6">
        <v>540</v>
      </c>
      <c r="K6">
        <v>550</v>
      </c>
      <c r="L6">
        <v>540</v>
      </c>
      <c r="M6">
        <v>550</v>
      </c>
      <c r="N6">
        <v>540</v>
      </c>
      <c r="O6">
        <v>550</v>
      </c>
      <c r="R6" s="25">
        <v>13</v>
      </c>
      <c r="S6" s="25">
        <v>8</v>
      </c>
      <c r="U6">
        <v>17</v>
      </c>
      <c r="V6" s="3">
        <v>0.34</v>
      </c>
    </row>
    <row r="7" spans="1:22">
      <c r="C7">
        <v>2010</v>
      </c>
      <c r="D7">
        <v>600</v>
      </c>
      <c r="E7">
        <v>610</v>
      </c>
      <c r="F7">
        <v>620</v>
      </c>
      <c r="G7">
        <v>630</v>
      </c>
      <c r="H7">
        <v>620</v>
      </c>
      <c r="I7">
        <v>610</v>
      </c>
      <c r="J7">
        <v>600</v>
      </c>
      <c r="K7">
        <v>610</v>
      </c>
      <c r="L7">
        <v>620</v>
      </c>
      <c r="M7">
        <v>630</v>
      </c>
      <c r="N7">
        <v>620</v>
      </c>
      <c r="O7">
        <v>610</v>
      </c>
      <c r="R7" s="25">
        <v>14</v>
      </c>
      <c r="S7" s="25">
        <v>7</v>
      </c>
      <c r="U7">
        <v>18</v>
      </c>
      <c r="V7" s="3">
        <v>0.36</v>
      </c>
    </row>
    <row r="8" spans="1:22">
      <c r="C8">
        <v>2011</v>
      </c>
      <c r="D8">
        <v>620</v>
      </c>
      <c r="E8">
        <v>630</v>
      </c>
      <c r="F8">
        <v>640</v>
      </c>
      <c r="G8">
        <v>600</v>
      </c>
      <c r="H8">
        <v>610</v>
      </c>
      <c r="I8">
        <v>620</v>
      </c>
      <c r="J8">
        <v>630</v>
      </c>
      <c r="K8">
        <v>640</v>
      </c>
      <c r="L8">
        <v>650</v>
      </c>
      <c r="M8">
        <v>660</v>
      </c>
      <c r="N8">
        <v>670</v>
      </c>
      <c r="O8">
        <v>680</v>
      </c>
      <c r="R8" s="25">
        <v>15</v>
      </c>
      <c r="S8" s="25">
        <v>6</v>
      </c>
      <c r="U8">
        <v>19</v>
      </c>
      <c r="V8" s="3">
        <v>0.38</v>
      </c>
    </row>
    <row r="9" spans="1:22">
      <c r="C9">
        <v>2012</v>
      </c>
      <c r="D9">
        <v>670</v>
      </c>
      <c r="E9">
        <v>660</v>
      </c>
      <c r="F9">
        <v>660</v>
      </c>
      <c r="G9">
        <v>660</v>
      </c>
      <c r="H9">
        <v>660</v>
      </c>
      <c r="I9">
        <v>650</v>
      </c>
      <c r="J9">
        <v>650</v>
      </c>
      <c r="K9">
        <v>650</v>
      </c>
      <c r="L9">
        <v>670</v>
      </c>
      <c r="M9">
        <v>670</v>
      </c>
      <c r="N9">
        <v>670</v>
      </c>
      <c r="O9">
        <v>1000</v>
      </c>
      <c r="R9" s="25">
        <v>16</v>
      </c>
      <c r="S9" s="25">
        <v>5</v>
      </c>
      <c r="U9">
        <v>20</v>
      </c>
      <c r="V9" s="3">
        <v>0.4</v>
      </c>
    </row>
    <row r="10" spans="1:22">
      <c r="C10">
        <v>2013</v>
      </c>
      <c r="D10">
        <v>555</v>
      </c>
      <c r="E10">
        <v>666</v>
      </c>
      <c r="F10">
        <v>555</v>
      </c>
      <c r="G10">
        <v>666</v>
      </c>
      <c r="H10">
        <v>777</v>
      </c>
      <c r="I10">
        <v>666</v>
      </c>
      <c r="J10">
        <v>555</v>
      </c>
      <c r="K10">
        <v>777</v>
      </c>
      <c r="L10">
        <v>666</v>
      </c>
      <c r="M10">
        <v>555</v>
      </c>
      <c r="N10">
        <v>555</v>
      </c>
      <c r="O10">
        <v>555</v>
      </c>
      <c r="R10" s="25">
        <v>17</v>
      </c>
      <c r="S10" s="25">
        <v>4</v>
      </c>
      <c r="U10">
        <v>21</v>
      </c>
      <c r="V10" s="3">
        <v>0.43</v>
      </c>
    </row>
    <row r="11" spans="1:22">
      <c r="C11">
        <v>2014</v>
      </c>
      <c r="D11">
        <v>600</v>
      </c>
      <c r="E11">
        <v>700</v>
      </c>
      <c r="F11">
        <v>800</v>
      </c>
      <c r="G11">
        <v>600</v>
      </c>
      <c r="H11">
        <v>700</v>
      </c>
      <c r="I11">
        <v>800</v>
      </c>
      <c r="J11">
        <v>600</v>
      </c>
      <c r="K11">
        <v>700</v>
      </c>
      <c r="L11">
        <v>800</v>
      </c>
      <c r="M11">
        <v>600</v>
      </c>
      <c r="N11">
        <v>700</v>
      </c>
      <c r="O11">
        <v>800</v>
      </c>
      <c r="R11" s="25">
        <v>18</v>
      </c>
      <c r="S11" s="25">
        <v>3</v>
      </c>
      <c r="U11">
        <v>22</v>
      </c>
      <c r="V11" s="3">
        <v>0.46</v>
      </c>
    </row>
    <row r="12" spans="1:22">
      <c r="C12">
        <v>2015</v>
      </c>
      <c r="D12">
        <v>650</v>
      </c>
      <c r="E12">
        <v>750</v>
      </c>
      <c r="F12">
        <v>660</v>
      </c>
      <c r="G12">
        <v>760</v>
      </c>
      <c r="H12">
        <v>670</v>
      </c>
      <c r="I12">
        <v>770</v>
      </c>
      <c r="J12">
        <v>680</v>
      </c>
      <c r="K12">
        <v>780</v>
      </c>
      <c r="L12">
        <v>690</v>
      </c>
      <c r="M12">
        <v>790</v>
      </c>
      <c r="N12">
        <v>700</v>
      </c>
      <c r="O12">
        <v>800</v>
      </c>
      <c r="R12" s="25">
        <v>19</v>
      </c>
      <c r="S12" s="25">
        <v>2</v>
      </c>
      <c r="U12">
        <v>23</v>
      </c>
      <c r="V12" s="3">
        <v>0.49</v>
      </c>
    </row>
    <row r="13" spans="1:22">
      <c r="C13">
        <v>2016</v>
      </c>
      <c r="D13">
        <v>700</v>
      </c>
      <c r="E13">
        <v>710</v>
      </c>
      <c r="F13">
        <v>720</v>
      </c>
      <c r="G13">
        <v>730</v>
      </c>
      <c r="H13">
        <v>740</v>
      </c>
      <c r="I13">
        <v>750</v>
      </c>
      <c r="J13">
        <v>760</v>
      </c>
      <c r="K13">
        <v>770</v>
      </c>
      <c r="L13">
        <v>780</v>
      </c>
      <c r="M13">
        <v>790</v>
      </c>
      <c r="N13">
        <v>800</v>
      </c>
      <c r="O13">
        <v>810</v>
      </c>
      <c r="R13" s="25">
        <v>20</v>
      </c>
      <c r="S13" s="25">
        <v>1</v>
      </c>
      <c r="U13">
        <v>24</v>
      </c>
      <c r="V13" s="3">
        <v>0.52</v>
      </c>
    </row>
    <row r="14" spans="1:22" ht="15" thickBot="1">
      <c r="U14">
        <v>25</v>
      </c>
      <c r="V14" s="3">
        <v>0.55000000000000004</v>
      </c>
    </row>
    <row r="15" spans="1:22" ht="18" thickBot="1">
      <c r="A15" s="82"/>
      <c r="B15" s="4" t="s">
        <v>61</v>
      </c>
      <c r="C15" s="5"/>
      <c r="D15" s="6">
        <v>36312</v>
      </c>
      <c r="E15" s="7"/>
      <c r="F15" s="8"/>
      <c r="G15" s="9" t="s">
        <v>46</v>
      </c>
      <c r="H15" s="9"/>
      <c r="I15" s="9"/>
      <c r="J15" s="9"/>
      <c r="K15" s="9"/>
      <c r="L15" s="10">
        <f ca="1">INT((L16-D15)/365)</f>
        <v>17</v>
      </c>
      <c r="M15" s="11" t="s">
        <v>15</v>
      </c>
      <c r="N15" s="12">
        <f ca="1">(((L16-D15)/365)-L15)*365</f>
        <v>288.99999999999983</v>
      </c>
      <c r="O15" s="13" t="s">
        <v>16</v>
      </c>
      <c r="P15" s="14"/>
      <c r="Q15" s="15"/>
      <c r="R15" s="15"/>
      <c r="S15" s="88"/>
      <c r="T15" s="82"/>
      <c r="U15" s="82"/>
      <c r="V15" s="3">
        <v>0.57999999999999996</v>
      </c>
    </row>
    <row r="16" spans="1:22" ht="25.8" thickTop="1" thickBot="1">
      <c r="A16" s="82"/>
      <c r="B16" s="16"/>
      <c r="C16" s="16"/>
      <c r="D16" s="16"/>
      <c r="E16" s="16"/>
      <c r="F16" s="16"/>
      <c r="G16" s="16"/>
      <c r="H16" s="16"/>
      <c r="I16" s="17" t="s">
        <v>17</v>
      </c>
      <c r="J16" s="17"/>
      <c r="K16" s="17"/>
      <c r="L16" s="18">
        <f ca="1" xml:space="preserve"> TODAY()</f>
        <v>42806</v>
      </c>
      <c r="M16" s="18"/>
      <c r="N16" s="18"/>
      <c r="O16" s="19"/>
      <c r="P16" s="100" t="s">
        <v>18</v>
      </c>
      <c r="Q16" s="101"/>
      <c r="R16" s="102" t="s">
        <v>19</v>
      </c>
      <c r="S16" s="89"/>
      <c r="T16" s="90"/>
      <c r="U16" s="91"/>
      <c r="V16" s="3">
        <v>0.61</v>
      </c>
    </row>
    <row r="17" spans="1:22" ht="18.600000000000001" thickTop="1" thickBot="1">
      <c r="A17" s="20">
        <f>YEAR(D15)</f>
        <v>1999</v>
      </c>
      <c r="B17" s="21" t="s">
        <v>20</v>
      </c>
      <c r="C17" s="22"/>
      <c r="D17" s="23" t="s">
        <v>21</v>
      </c>
      <c r="E17" s="23" t="s">
        <v>22</v>
      </c>
      <c r="F17" s="23" t="s">
        <v>23</v>
      </c>
      <c r="G17" s="23" t="s">
        <v>24</v>
      </c>
      <c r="H17" s="23" t="s">
        <v>25</v>
      </c>
      <c r="I17" s="23" t="s">
        <v>26</v>
      </c>
      <c r="J17" s="23" t="s">
        <v>27</v>
      </c>
      <c r="K17" s="23" t="s">
        <v>28</v>
      </c>
      <c r="L17" s="23" t="s">
        <v>29</v>
      </c>
      <c r="M17" s="23" t="s">
        <v>30</v>
      </c>
      <c r="N17" s="23" t="s">
        <v>31</v>
      </c>
      <c r="O17" s="24" t="s">
        <v>32</v>
      </c>
      <c r="P17" s="103"/>
      <c r="Q17" s="104"/>
      <c r="R17" s="105"/>
      <c r="S17" s="92" t="s">
        <v>0</v>
      </c>
      <c r="T17" s="92" t="s">
        <v>1</v>
      </c>
      <c r="U17" s="93"/>
      <c r="V17" s="3">
        <v>0.64</v>
      </c>
    </row>
    <row r="18" spans="1:22" ht="18.600000000000001" thickTop="1" thickBot="1">
      <c r="A18" s="20"/>
      <c r="B18" s="26" t="s">
        <v>49</v>
      </c>
      <c r="C18" s="81">
        <f ca="1">(YEAR(L16))-1</f>
        <v>2016</v>
      </c>
      <c r="D18" s="27">
        <v>1000</v>
      </c>
      <c r="E18" s="27">
        <v>1000</v>
      </c>
      <c r="F18" s="27">
        <v>1000</v>
      </c>
      <c r="G18" s="27">
        <v>1000</v>
      </c>
      <c r="H18" s="27">
        <v>1000</v>
      </c>
      <c r="I18" s="27">
        <v>1000</v>
      </c>
      <c r="J18" s="27">
        <v>1000</v>
      </c>
      <c r="K18" s="27">
        <v>1000</v>
      </c>
      <c r="L18" s="27">
        <v>1000</v>
      </c>
      <c r="M18" s="27">
        <v>1000</v>
      </c>
      <c r="N18" s="27">
        <v>1000</v>
      </c>
      <c r="O18" s="27">
        <v>1000</v>
      </c>
      <c r="P18" s="28">
        <f>AVERAGE(D18:O18)*12</f>
        <v>12000</v>
      </c>
      <c r="Q18" s="29"/>
      <c r="R18" s="108">
        <f>P18/12</f>
        <v>1000</v>
      </c>
      <c r="S18" s="92">
        <v>15</v>
      </c>
      <c r="T18" s="92">
        <v>1</v>
      </c>
      <c r="U18" s="94">
        <f>AVERAGE(D18:O18)</f>
        <v>1000</v>
      </c>
      <c r="V18" s="3">
        <v>0.67</v>
      </c>
    </row>
    <row r="19" spans="1:22" ht="18.600000000000001" thickTop="1" thickBot="1">
      <c r="A19" s="30">
        <v>41395</v>
      </c>
      <c r="B19" s="26" t="s">
        <v>49</v>
      </c>
      <c r="C19" s="81">
        <f ca="1">(YEAR(L16))-2</f>
        <v>2015</v>
      </c>
      <c r="D19" s="27">
        <v>900</v>
      </c>
      <c r="E19" s="27">
        <v>900</v>
      </c>
      <c r="F19" s="27">
        <v>900</v>
      </c>
      <c r="G19" s="27">
        <v>900</v>
      </c>
      <c r="H19" s="27">
        <v>900</v>
      </c>
      <c r="I19" s="27">
        <v>900</v>
      </c>
      <c r="J19" s="27">
        <v>900</v>
      </c>
      <c r="K19" s="27">
        <v>900</v>
      </c>
      <c r="L19" s="27">
        <v>900</v>
      </c>
      <c r="M19" s="27">
        <v>900</v>
      </c>
      <c r="N19" s="27">
        <v>900</v>
      </c>
      <c r="O19" s="27">
        <v>900</v>
      </c>
      <c r="P19" s="28">
        <f>AVERAGE(D19:O19)*12</f>
        <v>10800</v>
      </c>
      <c r="Q19" s="29"/>
      <c r="R19" s="108">
        <f>P19/12</f>
        <v>900</v>
      </c>
      <c r="S19" s="92">
        <v>14</v>
      </c>
      <c r="T19" s="92">
        <v>2</v>
      </c>
      <c r="U19" s="94">
        <f>AVERAGE(D18:O19)</f>
        <v>950</v>
      </c>
      <c r="V19" s="3">
        <v>0.7</v>
      </c>
    </row>
    <row r="20" spans="1:22" ht="25.2" thickTop="1" thickBot="1">
      <c r="A20" s="74" t="s">
        <v>62</v>
      </c>
      <c r="B20" s="26" t="s">
        <v>49</v>
      </c>
      <c r="C20" s="81">
        <f ca="1">(YEAR(L16))-3</f>
        <v>2014</v>
      </c>
      <c r="D20" s="27">
        <v>800</v>
      </c>
      <c r="E20" s="27">
        <v>800</v>
      </c>
      <c r="F20" s="27">
        <v>800</v>
      </c>
      <c r="G20" s="27">
        <v>800</v>
      </c>
      <c r="H20" s="27">
        <v>800</v>
      </c>
      <c r="I20" s="27">
        <v>800</v>
      </c>
      <c r="J20" s="27">
        <v>800</v>
      </c>
      <c r="K20" s="27">
        <v>800</v>
      </c>
      <c r="L20" s="27">
        <v>800</v>
      </c>
      <c r="M20" s="27">
        <v>800</v>
      </c>
      <c r="N20" s="27">
        <v>800</v>
      </c>
      <c r="O20" s="27">
        <v>800</v>
      </c>
      <c r="P20" s="28">
        <f t="shared" ref="P20:P27" si="0">AVERAGE(D20:O20)*12</f>
        <v>9600</v>
      </c>
      <c r="Q20" s="29"/>
      <c r="R20" s="108">
        <f>P20/12</f>
        <v>800</v>
      </c>
      <c r="S20" s="92">
        <v>13</v>
      </c>
      <c r="T20" s="92">
        <v>3</v>
      </c>
      <c r="U20" s="94">
        <f>AVERAGE(D18:O20)</f>
        <v>900</v>
      </c>
    </row>
    <row r="21" spans="1:22" ht="18.600000000000001" thickTop="1" thickBot="1">
      <c r="A21" s="32">
        <f>(A19-D15)/365+C30</f>
        <v>14.926027397260274</v>
      </c>
      <c r="B21" s="26" t="s">
        <v>49</v>
      </c>
      <c r="C21" s="81">
        <f ca="1">(YEAR(L16))-4</f>
        <v>2013</v>
      </c>
      <c r="D21" s="27">
        <v>700</v>
      </c>
      <c r="E21" s="27">
        <v>700</v>
      </c>
      <c r="F21" s="27">
        <v>700</v>
      </c>
      <c r="G21" s="27">
        <v>700</v>
      </c>
      <c r="H21" s="27">
        <v>700</v>
      </c>
      <c r="I21" s="27">
        <v>700</v>
      </c>
      <c r="J21" s="27">
        <v>700</v>
      </c>
      <c r="K21" s="27">
        <v>700</v>
      </c>
      <c r="L21" s="27">
        <v>700</v>
      </c>
      <c r="M21" s="27">
        <v>700</v>
      </c>
      <c r="N21" s="27">
        <v>700</v>
      </c>
      <c r="O21" s="27">
        <v>700</v>
      </c>
      <c r="P21" s="28">
        <f t="shared" si="0"/>
        <v>8400</v>
      </c>
      <c r="Q21" s="29"/>
      <c r="R21" s="108">
        <f>P21/12</f>
        <v>700</v>
      </c>
      <c r="S21" s="92">
        <v>12</v>
      </c>
      <c r="T21" s="92">
        <v>4</v>
      </c>
      <c r="U21" s="94">
        <f>AVERAGE(D18:O21)</f>
        <v>850</v>
      </c>
    </row>
    <row r="22" spans="1:22" ht="18.600000000000001" thickTop="1" thickBot="1">
      <c r="A22" s="33">
        <f>INT(A21)</f>
        <v>14</v>
      </c>
      <c r="B22" s="26" t="s">
        <v>49</v>
      </c>
      <c r="C22" s="81">
        <f ca="1">(YEAR(L16))-5</f>
        <v>2012</v>
      </c>
      <c r="D22" s="27">
        <v>600</v>
      </c>
      <c r="E22" s="27">
        <v>600</v>
      </c>
      <c r="F22" s="27">
        <v>600</v>
      </c>
      <c r="G22" s="27">
        <v>600</v>
      </c>
      <c r="H22" s="27">
        <v>600</v>
      </c>
      <c r="I22" s="27">
        <v>600</v>
      </c>
      <c r="J22" s="27">
        <v>600</v>
      </c>
      <c r="K22" s="27">
        <v>600</v>
      </c>
      <c r="L22" s="27">
        <v>600</v>
      </c>
      <c r="M22" s="27">
        <v>600</v>
      </c>
      <c r="N22" s="27">
        <v>600</v>
      </c>
      <c r="O22" s="27">
        <v>600</v>
      </c>
      <c r="P22" s="28">
        <f t="shared" si="0"/>
        <v>7200</v>
      </c>
      <c r="Q22" s="29"/>
      <c r="R22" s="108">
        <f>P22/12</f>
        <v>600</v>
      </c>
      <c r="S22" s="92">
        <v>11</v>
      </c>
      <c r="T22" s="92">
        <v>5</v>
      </c>
      <c r="U22" s="94">
        <f>AVERAGE(D18:O22)</f>
        <v>800</v>
      </c>
    </row>
    <row r="23" spans="1:22" ht="20.399999999999999" thickTop="1" thickBot="1">
      <c r="A23" s="80" t="s">
        <v>47</v>
      </c>
      <c r="B23" s="26" t="s">
        <v>49</v>
      </c>
      <c r="C23" s="81">
        <f ca="1">(YEAR(L16))-6</f>
        <v>2011</v>
      </c>
      <c r="D23" s="27">
        <v>500</v>
      </c>
      <c r="E23" s="27">
        <v>500</v>
      </c>
      <c r="F23" s="27">
        <v>500</v>
      </c>
      <c r="G23" s="27">
        <v>500</v>
      </c>
      <c r="H23" s="27">
        <v>500</v>
      </c>
      <c r="I23" s="27">
        <v>500</v>
      </c>
      <c r="J23" s="27">
        <v>500</v>
      </c>
      <c r="K23" s="27">
        <v>500</v>
      </c>
      <c r="L23" s="27">
        <v>500</v>
      </c>
      <c r="M23" s="27">
        <v>500</v>
      </c>
      <c r="N23" s="27">
        <v>500</v>
      </c>
      <c r="O23" s="27">
        <v>500</v>
      </c>
      <c r="P23" s="28">
        <f t="shared" si="0"/>
        <v>6000</v>
      </c>
      <c r="Q23" s="29"/>
      <c r="R23" s="108">
        <f>P23/12</f>
        <v>500</v>
      </c>
      <c r="S23" s="92">
        <v>10</v>
      </c>
      <c r="T23" s="92">
        <v>6</v>
      </c>
      <c r="U23" s="94">
        <f>AVERAGE(D18:O23)</f>
        <v>750</v>
      </c>
    </row>
    <row r="24" spans="1:22" ht="28.8" thickTop="1" thickBot="1">
      <c r="A24" s="31" t="s">
        <v>33</v>
      </c>
      <c r="B24" s="26" t="s">
        <v>49</v>
      </c>
      <c r="C24" s="81">
        <f ca="1">(YEAR(L16))-7</f>
        <v>2010</v>
      </c>
      <c r="D24" s="27">
        <v>400</v>
      </c>
      <c r="E24" s="27">
        <v>400</v>
      </c>
      <c r="F24" s="27">
        <v>400</v>
      </c>
      <c r="G24" s="27">
        <v>400</v>
      </c>
      <c r="H24" s="27">
        <v>400</v>
      </c>
      <c r="I24" s="27">
        <v>400</v>
      </c>
      <c r="J24" s="27">
        <v>400</v>
      </c>
      <c r="K24" s="27">
        <v>400</v>
      </c>
      <c r="L24" s="27">
        <v>400</v>
      </c>
      <c r="M24" s="27">
        <v>400</v>
      </c>
      <c r="N24" s="27">
        <v>400</v>
      </c>
      <c r="O24" s="27">
        <v>400</v>
      </c>
      <c r="P24" s="28">
        <f t="shared" si="0"/>
        <v>4800</v>
      </c>
      <c r="Q24" s="29"/>
      <c r="R24" s="108">
        <f>P24/12</f>
        <v>400</v>
      </c>
      <c r="S24" s="92">
        <v>9</v>
      </c>
      <c r="T24" s="92">
        <v>7</v>
      </c>
      <c r="U24" s="94">
        <f>AVERAGE(D18:O24)</f>
        <v>700</v>
      </c>
    </row>
    <row r="25" spans="1:22" ht="18.600000000000001" thickTop="1" thickBot="1">
      <c r="A25" s="31">
        <f>(15-A22)*2</f>
        <v>2</v>
      </c>
      <c r="B25" s="26" t="s">
        <v>49</v>
      </c>
      <c r="C25" s="81">
        <f ca="1">(YEAR(L16))-8</f>
        <v>2009</v>
      </c>
      <c r="D25" s="27">
        <v>300</v>
      </c>
      <c r="E25" s="27">
        <v>300</v>
      </c>
      <c r="F25" s="27">
        <v>300</v>
      </c>
      <c r="G25" s="27">
        <v>300</v>
      </c>
      <c r="H25" s="27">
        <v>300</v>
      </c>
      <c r="I25" s="27">
        <v>300</v>
      </c>
      <c r="J25" s="27">
        <v>300</v>
      </c>
      <c r="K25" s="27">
        <v>300</v>
      </c>
      <c r="L25" s="27">
        <v>300</v>
      </c>
      <c r="M25" s="27">
        <v>300</v>
      </c>
      <c r="N25" s="27">
        <v>300</v>
      </c>
      <c r="O25" s="27">
        <v>300</v>
      </c>
      <c r="P25" s="28">
        <f t="shared" si="0"/>
        <v>3600</v>
      </c>
      <c r="Q25" s="29"/>
      <c r="R25" s="108">
        <f>P25/12</f>
        <v>300</v>
      </c>
      <c r="S25" s="92">
        <v>8</v>
      </c>
      <c r="T25" s="92">
        <v>8</v>
      </c>
      <c r="U25" s="94">
        <f>AVERAGE(D18:O25)</f>
        <v>650</v>
      </c>
    </row>
    <row r="26" spans="1:22" ht="18.600000000000001" thickTop="1" thickBot="1">
      <c r="A26" s="75" t="s">
        <v>48</v>
      </c>
      <c r="B26" s="26" t="s">
        <v>49</v>
      </c>
      <c r="C26" s="81">
        <f ca="1">(YEAR(L16))-9</f>
        <v>2008</v>
      </c>
      <c r="D26" s="27">
        <v>200</v>
      </c>
      <c r="E26" s="27">
        <v>200</v>
      </c>
      <c r="F26" s="27">
        <v>200</v>
      </c>
      <c r="G26" s="27">
        <v>200</v>
      </c>
      <c r="H26" s="27">
        <v>200</v>
      </c>
      <c r="I26" s="27">
        <v>200</v>
      </c>
      <c r="J26" s="27">
        <v>200</v>
      </c>
      <c r="K26" s="27">
        <v>200</v>
      </c>
      <c r="L26" s="27">
        <v>200</v>
      </c>
      <c r="M26" s="27">
        <v>200</v>
      </c>
      <c r="N26" s="27">
        <v>200</v>
      </c>
      <c r="O26" s="27">
        <v>200</v>
      </c>
      <c r="P26" s="28">
        <f t="shared" si="0"/>
        <v>2400</v>
      </c>
      <c r="Q26" s="29"/>
      <c r="R26" s="108">
        <f>P26/12</f>
        <v>200</v>
      </c>
      <c r="S26" s="92">
        <v>7</v>
      </c>
      <c r="T26" s="92">
        <v>9</v>
      </c>
      <c r="U26" s="94">
        <f>AVERAGE(D18:O26)</f>
        <v>600</v>
      </c>
    </row>
    <row r="27" spans="1:22" ht="18.600000000000001" thickTop="1" thickBot="1">
      <c r="A27" s="20"/>
      <c r="B27" s="26" t="s">
        <v>49</v>
      </c>
      <c r="C27" s="81">
        <f ca="1">(YEAR(L16))-10</f>
        <v>2007</v>
      </c>
      <c r="D27" s="27">
        <v>100</v>
      </c>
      <c r="E27" s="27">
        <v>100</v>
      </c>
      <c r="F27" s="27">
        <v>100</v>
      </c>
      <c r="G27" s="27">
        <v>100</v>
      </c>
      <c r="H27" s="27">
        <v>100</v>
      </c>
      <c r="I27" s="27">
        <v>100</v>
      </c>
      <c r="J27" s="27">
        <v>100</v>
      </c>
      <c r="K27" s="27">
        <v>100</v>
      </c>
      <c r="L27" s="27">
        <v>100</v>
      </c>
      <c r="M27" s="27">
        <v>100</v>
      </c>
      <c r="N27" s="27">
        <v>100</v>
      </c>
      <c r="O27" s="27">
        <v>100</v>
      </c>
      <c r="P27" s="28">
        <f t="shared" si="0"/>
        <v>1200</v>
      </c>
      <c r="Q27" s="29"/>
      <c r="R27" s="108">
        <f>P27/12</f>
        <v>100</v>
      </c>
      <c r="S27" s="92">
        <v>6</v>
      </c>
      <c r="T27" s="92">
        <v>10</v>
      </c>
      <c r="U27" s="94">
        <f>AVERAGE(D18:O27)</f>
        <v>550</v>
      </c>
    </row>
    <row r="28" spans="1:22" ht="42" customHeight="1" thickTop="1" thickBot="1">
      <c r="A28" s="83"/>
      <c r="B28" s="34" t="s">
        <v>50</v>
      </c>
      <c r="C28" s="35"/>
      <c r="D28" s="35"/>
      <c r="E28" s="35"/>
      <c r="F28" s="35"/>
      <c r="G28" s="36">
        <f>IF(((A25+A22)&lt;25)*TRUE,(A25+A22),"25")</f>
        <v>16</v>
      </c>
      <c r="H28" s="37"/>
      <c r="I28" s="38" t="s">
        <v>52</v>
      </c>
      <c r="J28" s="39"/>
      <c r="K28" s="40"/>
      <c r="L28" s="109" t="s">
        <v>34</v>
      </c>
      <c r="M28" s="110"/>
      <c r="N28" s="110" t="s">
        <v>35</v>
      </c>
      <c r="O28" s="111"/>
      <c r="P28" s="41" t="s">
        <v>51</v>
      </c>
      <c r="Q28" s="42"/>
      <c r="R28" s="106">
        <f ca="1">N30*12/365*30.417*R30</f>
        <v>7500.0821917808235</v>
      </c>
      <c r="S28" s="95"/>
      <c r="T28" s="83"/>
      <c r="U28" s="83"/>
    </row>
    <row r="29" spans="1:22" ht="28.8" thickTop="1" thickBot="1">
      <c r="A29" s="84"/>
      <c r="B29" s="26" t="s">
        <v>36</v>
      </c>
      <c r="C29" s="43" t="s">
        <v>37</v>
      </c>
      <c r="D29" s="44"/>
      <c r="E29" s="43" t="s">
        <v>38</v>
      </c>
      <c r="F29" s="44"/>
      <c r="G29" s="45" t="s">
        <v>39</v>
      </c>
      <c r="H29" s="46"/>
      <c r="I29" s="47"/>
      <c r="J29" s="48"/>
      <c r="K29" s="49"/>
      <c r="L29" s="112"/>
      <c r="M29" s="113"/>
      <c r="N29" s="113"/>
      <c r="O29" s="114"/>
      <c r="P29" s="50"/>
      <c r="Q29" s="51"/>
      <c r="R29" s="107"/>
      <c r="S29" s="96"/>
      <c r="T29" s="84"/>
      <c r="U29" s="84"/>
    </row>
    <row r="30" spans="1:22" ht="32.4" thickTop="1" thickBot="1">
      <c r="A30" s="85" t="s">
        <v>40</v>
      </c>
      <c r="B30" s="52" t="s">
        <v>41</v>
      </c>
      <c r="C30" s="53">
        <v>1</v>
      </c>
      <c r="D30" s="54"/>
      <c r="E30" s="55">
        <f ca="1">L15</f>
        <v>17</v>
      </c>
      <c r="F30" s="56"/>
      <c r="G30" s="57">
        <f ca="1">INT(C30+E30)</f>
        <v>18</v>
      </c>
      <c r="H30" s="57"/>
      <c r="I30" s="58">
        <f>(A17-C30)+G28</f>
        <v>2014</v>
      </c>
      <c r="J30" s="59"/>
      <c r="K30" s="60"/>
      <c r="L30" s="78"/>
      <c r="M30" s="79"/>
      <c r="N30" s="76">
        <f>IFERROR(D18:O18*VLOOKUP(A22,$S$4:$T$13,1,TRUE),"málo r.")</f>
        <v>1000</v>
      </c>
      <c r="O30" s="77"/>
      <c r="P30" s="61" t="s">
        <v>42</v>
      </c>
      <c r="Q30" s="61"/>
      <c r="R30" s="62">
        <f ca="1">(G30-5)/2+1</f>
        <v>7.5</v>
      </c>
      <c r="S30" s="84"/>
      <c r="T30" s="84"/>
      <c r="U30" s="84"/>
    </row>
    <row r="31" spans="1:22" ht="24" thickTop="1" thickBot="1">
      <c r="A31" s="86"/>
      <c r="B31" s="63" t="s">
        <v>59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97"/>
      <c r="T31" s="86"/>
      <c r="U31" s="86"/>
    </row>
    <row r="32" spans="1:22" ht="32.4" thickTop="1" thickBot="1">
      <c r="A32" s="87"/>
      <c r="B32" s="52" t="s">
        <v>43</v>
      </c>
      <c r="C32" s="66">
        <v>0.3</v>
      </c>
      <c r="D32" s="66">
        <v>0.32</v>
      </c>
      <c r="E32" s="66">
        <v>0.34</v>
      </c>
      <c r="F32" s="66">
        <v>0.36</v>
      </c>
      <c r="G32" s="66">
        <v>0.38</v>
      </c>
      <c r="H32" s="66">
        <v>0.4</v>
      </c>
      <c r="I32" s="66">
        <v>0.43</v>
      </c>
      <c r="J32" s="66">
        <v>0.46</v>
      </c>
      <c r="K32" s="66">
        <v>0.49</v>
      </c>
      <c r="L32" s="66">
        <v>0.52</v>
      </c>
      <c r="M32" s="67">
        <v>0.55000000000000004</v>
      </c>
      <c r="N32" s="66">
        <v>0.56000000000000005</v>
      </c>
      <c r="O32" s="67">
        <v>0.56999999999999995</v>
      </c>
      <c r="P32" s="67">
        <v>0.57999999999999996</v>
      </c>
      <c r="Q32" s="67">
        <v>0.59</v>
      </c>
      <c r="R32" s="68">
        <v>0.6</v>
      </c>
      <c r="S32" s="98"/>
      <c r="T32" s="87"/>
      <c r="U32" s="87"/>
    </row>
    <row r="33" spans="1:21" ht="48" thickTop="1" thickBot="1">
      <c r="A33" s="87"/>
      <c r="B33" s="52" t="s">
        <v>41</v>
      </c>
      <c r="C33" s="69">
        <v>15</v>
      </c>
      <c r="D33" s="69">
        <v>16</v>
      </c>
      <c r="E33" s="69">
        <v>17</v>
      </c>
      <c r="F33" s="69">
        <v>18</v>
      </c>
      <c r="G33" s="69">
        <v>19</v>
      </c>
      <c r="H33" s="69">
        <v>20</v>
      </c>
      <c r="I33" s="69">
        <v>21</v>
      </c>
      <c r="J33" s="69">
        <v>22</v>
      </c>
      <c r="K33" s="69">
        <v>23</v>
      </c>
      <c r="L33" s="69">
        <v>24</v>
      </c>
      <c r="M33" s="70">
        <v>25</v>
      </c>
      <c r="N33" s="69">
        <v>26</v>
      </c>
      <c r="O33" s="70">
        <v>27</v>
      </c>
      <c r="P33" s="70">
        <v>28</v>
      </c>
      <c r="Q33" s="70">
        <v>29</v>
      </c>
      <c r="R33" s="71">
        <v>30</v>
      </c>
      <c r="S33" s="98"/>
      <c r="T33" s="87"/>
      <c r="U33" s="87"/>
    </row>
    <row r="34" spans="1:21" ht="16.8" thickTop="1" thickBot="1">
      <c r="A34" s="87"/>
      <c r="B34" s="52" t="s">
        <v>44</v>
      </c>
      <c r="C34" s="72">
        <f>N30/100*30</f>
        <v>300</v>
      </c>
      <c r="D34" s="72">
        <f>N30/100*32</f>
        <v>320</v>
      </c>
      <c r="E34" s="72">
        <f>N30/100*34</f>
        <v>340</v>
      </c>
      <c r="F34" s="72">
        <f>N30/100*36</f>
        <v>360</v>
      </c>
      <c r="G34" s="72">
        <f>N30/100*38</f>
        <v>380</v>
      </c>
      <c r="H34" s="72">
        <f>N30/100*40</f>
        <v>400</v>
      </c>
      <c r="I34" s="72">
        <f>N30/100*43</f>
        <v>430</v>
      </c>
      <c r="J34" s="72">
        <f>N30/100*46</f>
        <v>460</v>
      </c>
      <c r="K34" s="72">
        <f>N30/100*49</f>
        <v>490</v>
      </c>
      <c r="L34" s="72">
        <f>N30/100*52</f>
        <v>520</v>
      </c>
      <c r="M34" s="73">
        <f>N30/100*55</f>
        <v>550</v>
      </c>
      <c r="N34" s="72">
        <f>N30/100*56</f>
        <v>560</v>
      </c>
      <c r="O34" s="73">
        <f>N30/100*57</f>
        <v>570</v>
      </c>
      <c r="P34" s="73">
        <f>N30/100*58</f>
        <v>580</v>
      </c>
      <c r="Q34" s="73">
        <f>N30/100*59</f>
        <v>590</v>
      </c>
      <c r="R34" s="73">
        <f>N30/100*60</f>
        <v>600</v>
      </c>
      <c r="S34" s="98"/>
      <c r="T34" s="99" t="s">
        <v>45</v>
      </c>
      <c r="U34" s="87"/>
    </row>
    <row r="35" spans="1:21" ht="15" thickTop="1"/>
    <row r="36" spans="1:21">
      <c r="A36" t="s">
        <v>64</v>
      </c>
    </row>
    <row r="37" spans="1:21">
      <c r="A37" t="s">
        <v>54</v>
      </c>
    </row>
    <row r="38" spans="1:21">
      <c r="A38" t="s">
        <v>53</v>
      </c>
    </row>
    <row r="39" spans="1:21">
      <c r="A39" t="s">
        <v>55</v>
      </c>
    </row>
    <row r="40" spans="1:21">
      <c r="A40" t="s">
        <v>56</v>
      </c>
    </row>
    <row r="41" spans="1:21">
      <c r="A41" t="s">
        <v>57</v>
      </c>
    </row>
    <row r="42" spans="1:21">
      <c r="A42" t="s">
        <v>58</v>
      </c>
    </row>
    <row r="43" spans="1:21">
      <c r="A43" t="s">
        <v>60</v>
      </c>
    </row>
    <row r="44" spans="1:21">
      <c r="A44" t="s">
        <v>63</v>
      </c>
    </row>
  </sheetData>
  <mergeCells count="37">
    <mergeCell ref="P30:Q30"/>
    <mergeCell ref="B31:R31"/>
    <mergeCell ref="R28:R29"/>
    <mergeCell ref="C29:D29"/>
    <mergeCell ref="E29:F29"/>
    <mergeCell ref="G29:H29"/>
    <mergeCell ref="C30:D30"/>
    <mergeCell ref="E30:F30"/>
    <mergeCell ref="G30:H30"/>
    <mergeCell ref="I30:K30"/>
    <mergeCell ref="L30:M30"/>
    <mergeCell ref="N30:O30"/>
    <mergeCell ref="P27:Q27"/>
    <mergeCell ref="B28:F28"/>
    <mergeCell ref="G28:H28"/>
    <mergeCell ref="I28:K29"/>
    <mergeCell ref="L28:M29"/>
    <mergeCell ref="N28:O29"/>
    <mergeCell ref="P28:Q29"/>
    <mergeCell ref="P21:Q21"/>
    <mergeCell ref="P22:Q22"/>
    <mergeCell ref="P23:Q23"/>
    <mergeCell ref="P24:Q24"/>
    <mergeCell ref="P25:Q25"/>
    <mergeCell ref="P26:Q26"/>
    <mergeCell ref="P16:Q17"/>
    <mergeCell ref="R16:R17"/>
    <mergeCell ref="B17:C17"/>
    <mergeCell ref="P18:Q18"/>
    <mergeCell ref="P19:Q19"/>
    <mergeCell ref="P20:Q20"/>
    <mergeCell ref="B15:C15"/>
    <mergeCell ref="D15:E15"/>
    <mergeCell ref="G15:K15"/>
    <mergeCell ref="B16:H16"/>
    <mergeCell ref="I16:K16"/>
    <mergeCell ref="L16:N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Tom</cp:lastModifiedBy>
  <dcterms:created xsi:type="dcterms:W3CDTF">2017-03-12T18:02:50Z</dcterms:created>
  <dcterms:modified xsi:type="dcterms:W3CDTF">2017-03-12T20:36:23Z</dcterms:modified>
</cp:coreProperties>
</file>